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00-Hibrido\"/>
    </mc:Choice>
  </mc:AlternateContent>
  <xr:revisionPtr revIDLastSave="0" documentId="13_ncr:1_{ECD31033-FD2F-4A7F-9D1E-35695F6F990F}" xr6:coauthVersionLast="47" xr6:coauthVersionMax="47" xr10:uidLastSave="{00000000-0000-0000-0000-000000000000}"/>
  <bookViews>
    <workbookView xWindow="-120" yWindow="-120" windowWidth="29040" windowHeight="15840" tabRatio="909" firstSheet="1" activeTab="2" xr2:uid="{7DC23264-8FAB-4632-8EEF-BAF4F32D822C}"/>
  </bookViews>
  <sheets>
    <sheet name="Folha Inicial" sheetId="24" state="hidden" r:id="rId1"/>
    <sheet name="GERAL" sheetId="28" r:id="rId2"/>
    <sheet name="TABELA" sheetId="3" r:id="rId3"/>
    <sheet name="ENVELOPES" sheetId="32" r:id="rId4"/>
    <sheet name="SACOLA" sheetId="30" r:id="rId5"/>
    <sheet name="FITA ADESIVA" sheetId="18" r:id="rId6"/>
    <sheet name="PLASTICO BOLHA" sheetId="17" r:id="rId7"/>
    <sheet name="ETIQUETAS" sheetId="16" r:id="rId8"/>
    <sheet name="PAPEL PARDO E PAPELÃO ONDULADO" sheetId="19" r:id="rId9"/>
    <sheet name="ACESSORIOS" sheetId="27" r:id="rId10"/>
    <sheet name="Mudança" sheetId="29" state="hidden" r:id="rId11"/>
  </sheets>
  <definedNames>
    <definedName name="_xlnm._FilterDatabase" localSheetId="9" hidden="1">ACESSORIOS!$B$8:$R$26</definedName>
    <definedName name="_xlnm._FilterDatabase" localSheetId="3" hidden="1">ENVELOPES!$C$7:$AB$21</definedName>
    <definedName name="_xlnm._FilterDatabase" localSheetId="7" hidden="1">ETIQUETAS!$A$10:$U$76</definedName>
    <definedName name="_xlnm._FilterDatabase" localSheetId="5" hidden="1">'FITA ADESIVA'!$B$10:$U$29</definedName>
    <definedName name="_xlnm._FilterDatabase" localSheetId="8" hidden="1">'PAPEL PARDO E PAPELÃO ONDULADO'!$B$12:$R$29</definedName>
    <definedName name="_xlnm._FilterDatabase" localSheetId="6" hidden="1">'PLASTICO BOLHA'!$B$11:$U$41</definedName>
    <definedName name="_xlnm._FilterDatabase" localSheetId="2" hidden="1">TABELA!$A$6:$Y$126</definedName>
    <definedName name="_xlnm.Criteria" localSheetId="2">TABELA!$G$4:$I$5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40" i="3" l="1"/>
  <c r="T240" i="3"/>
  <c r="Y239" i="3"/>
  <c r="T239" i="3"/>
  <c r="Y238" i="3"/>
  <c r="T238" i="3"/>
  <c r="Y237" i="3"/>
  <c r="T237" i="3"/>
  <c r="Y236" i="3"/>
  <c r="T236" i="3"/>
  <c r="Y235" i="3"/>
  <c r="T235" i="3"/>
  <c r="Y234" i="3"/>
  <c r="T234" i="3"/>
  <c r="Y233" i="3"/>
  <c r="T233" i="3"/>
  <c r="Y232" i="3"/>
  <c r="T232" i="3"/>
  <c r="Y231" i="3"/>
  <c r="T231" i="3"/>
  <c r="Y230" i="3"/>
  <c r="T230" i="3"/>
  <c r="Y229" i="3"/>
  <c r="T229" i="3"/>
  <c r="Y228" i="3"/>
  <c r="T228" i="3"/>
  <c r="Y227" i="3"/>
  <c r="T227" i="3"/>
  <c r="Y226" i="3"/>
  <c r="T226" i="3"/>
  <c r="Y225" i="3"/>
  <c r="T225" i="3"/>
  <c r="Y224" i="3"/>
  <c r="T224" i="3"/>
  <c r="Y223" i="3"/>
  <c r="T223" i="3"/>
  <c r="Y222" i="3"/>
  <c r="T222" i="3"/>
  <c r="Y221" i="3"/>
  <c r="T221" i="3"/>
  <c r="Y220" i="3"/>
  <c r="T220" i="3"/>
  <c r="Y219" i="3"/>
  <c r="T219" i="3"/>
  <c r="Y218" i="3"/>
  <c r="T218" i="3"/>
  <c r="Y217" i="3"/>
  <c r="T217" i="3"/>
  <c r="Y216" i="3"/>
  <c r="T216" i="3"/>
  <c r="Y215" i="3"/>
  <c r="T215" i="3"/>
  <c r="Y214" i="3"/>
  <c r="T214" i="3"/>
  <c r="Y213" i="3"/>
  <c r="T213" i="3"/>
  <c r="Y212" i="3"/>
  <c r="T212" i="3"/>
  <c r="Y211" i="3"/>
  <c r="T211" i="3"/>
  <c r="Y210" i="3"/>
  <c r="T210" i="3"/>
  <c r="Y209" i="3"/>
  <c r="T209" i="3"/>
  <c r="Y208" i="3"/>
  <c r="T208" i="3"/>
  <c r="Y207" i="3"/>
  <c r="T207" i="3"/>
  <c r="Y206" i="3"/>
  <c r="T206" i="3"/>
  <c r="Y205" i="3"/>
  <c r="T205" i="3"/>
  <c r="Y204" i="3"/>
  <c r="T204" i="3"/>
  <c r="Y203" i="3"/>
  <c r="T203" i="3"/>
  <c r="Y202" i="3"/>
  <c r="T202" i="3"/>
  <c r="Y201" i="3"/>
  <c r="T201" i="3"/>
  <c r="Y200" i="3"/>
  <c r="T200" i="3"/>
  <c r="Y199" i="3"/>
  <c r="T199" i="3"/>
  <c r="Y198" i="3"/>
  <c r="T198" i="3"/>
  <c r="Y197" i="3"/>
  <c r="T197" i="3"/>
  <c r="Y196" i="3"/>
  <c r="T196" i="3"/>
  <c r="Y195" i="3"/>
  <c r="T195" i="3"/>
  <c r="Y194" i="3"/>
  <c r="T194" i="3"/>
  <c r="Y193" i="3"/>
  <c r="T193" i="3"/>
  <c r="Y192" i="3"/>
  <c r="T192" i="3"/>
  <c r="Y191" i="3"/>
  <c r="T191" i="3"/>
  <c r="Y190" i="3"/>
  <c r="T190" i="3"/>
  <c r="Y189" i="3"/>
  <c r="T189" i="3"/>
  <c r="Y188" i="3"/>
  <c r="T188" i="3"/>
  <c r="Y187" i="3"/>
  <c r="T187" i="3"/>
  <c r="Y186" i="3"/>
  <c r="T186" i="3"/>
  <c r="Y185" i="3"/>
  <c r="T185" i="3"/>
  <c r="Y184" i="3"/>
  <c r="T184" i="3"/>
  <c r="Y183" i="3"/>
  <c r="T183" i="3"/>
  <c r="Y182" i="3"/>
  <c r="T182" i="3"/>
  <c r="Y181" i="3"/>
  <c r="T181" i="3"/>
  <c r="Y180" i="3"/>
  <c r="T180" i="3"/>
  <c r="Y179" i="3"/>
  <c r="T179" i="3"/>
  <c r="Y178" i="3"/>
  <c r="T178" i="3"/>
  <c r="Y177" i="3"/>
  <c r="T177" i="3"/>
  <c r="Y176" i="3"/>
  <c r="T176" i="3"/>
  <c r="Y175" i="3"/>
  <c r="T175" i="3"/>
  <c r="Y174" i="3"/>
  <c r="T174" i="3"/>
  <c r="Y173" i="3"/>
  <c r="T173" i="3"/>
  <c r="Y172" i="3"/>
  <c r="T172" i="3"/>
  <c r="Y171" i="3"/>
  <c r="T171" i="3"/>
  <c r="Y170" i="3"/>
  <c r="T170" i="3"/>
  <c r="Y169" i="3"/>
  <c r="T169" i="3"/>
  <c r="Y168" i="3"/>
  <c r="T168" i="3"/>
  <c r="Y167" i="3"/>
  <c r="T167" i="3"/>
  <c r="Y166" i="3"/>
  <c r="T166" i="3"/>
  <c r="Y165" i="3"/>
  <c r="T165" i="3"/>
  <c r="Y164" i="3"/>
  <c r="T164" i="3"/>
  <c r="Y163" i="3"/>
  <c r="T163" i="3"/>
  <c r="J32" i="32"/>
  <c r="K32" i="32" s="1"/>
  <c r="J31" i="32"/>
  <c r="K31" i="32" s="1"/>
  <c r="J30" i="32"/>
  <c r="K30" i="32" s="1"/>
  <c r="J29" i="32"/>
  <c r="K29" i="32" s="1"/>
  <c r="J28" i="32"/>
  <c r="K28" i="32" s="1"/>
  <c r="Q15" i="32" l="1"/>
  <c r="S15" i="32" s="1"/>
  <c r="AF20" i="32"/>
  <c r="Q19" i="32"/>
  <c r="S19" i="32"/>
  <c r="AE19" i="32"/>
  <c r="AE18" i="32"/>
  <c r="AC14" i="32"/>
  <c r="AF14" i="32"/>
  <c r="Q11" i="32"/>
  <c r="S11" i="32"/>
  <c r="AC8" i="32"/>
  <c r="AD8" i="32"/>
  <c r="AF8" i="32"/>
  <c r="Q8" i="32"/>
  <c r="S8" i="32" s="1"/>
  <c r="X3" i="32"/>
  <c r="C7" i="28" s="1"/>
  <c r="D2" i="27"/>
  <c r="C9" i="28" s="1"/>
  <c r="G2" i="19"/>
  <c r="C8" i="28"/>
  <c r="L9" i="16"/>
  <c r="C6" i="28"/>
  <c r="J2" i="17"/>
  <c r="C5" i="28" s="1"/>
  <c r="K8" i="18"/>
  <c r="C4" i="28"/>
  <c r="D8" i="18"/>
  <c r="N2" i="3"/>
  <c r="C3" i="28" s="1"/>
  <c r="Q21" i="32"/>
  <c r="S21" i="32"/>
  <c r="Q20" i="32"/>
  <c r="S20" i="32"/>
  <c r="Q18" i="32"/>
  <c r="S18" i="32"/>
  <c r="Q17" i="32"/>
  <c r="S17" i="32"/>
  <c r="Q16" i="32"/>
  <c r="S16" i="32" s="1"/>
  <c r="Q14" i="32"/>
  <c r="S14" i="32"/>
  <c r="Q13" i="32"/>
  <c r="S13" i="32"/>
  <c r="Q12" i="32"/>
  <c r="S12" i="32"/>
  <c r="Q10" i="32"/>
  <c r="S10" i="32"/>
  <c r="Q9" i="32"/>
  <c r="S9" i="32" s="1"/>
  <c r="J20" i="32"/>
  <c r="K20" i="32" s="1"/>
  <c r="J19" i="32"/>
  <c r="K19" i="32"/>
  <c r="J18" i="32"/>
  <c r="K18" i="32"/>
  <c r="J17" i="32"/>
  <c r="K17" i="32"/>
  <c r="J16" i="32"/>
  <c r="K16" i="32"/>
  <c r="J9" i="32"/>
  <c r="K9" i="32" s="1"/>
  <c r="J8" i="32"/>
  <c r="K8" i="32" s="1"/>
  <c r="J13" i="32"/>
  <c r="K13" i="32"/>
  <c r="J12" i="32"/>
  <c r="K12" i="32"/>
  <c r="J11" i="32"/>
  <c r="K11" i="32"/>
  <c r="J14" i="32"/>
  <c r="K14" i="32"/>
  <c r="J15" i="32"/>
  <c r="K15" i="32" s="1"/>
  <c r="Y162" i="3"/>
  <c r="T162" i="3"/>
  <c r="Y161" i="3"/>
  <c r="T161" i="3"/>
  <c r="Y160" i="3"/>
  <c r="T160" i="3"/>
  <c r="Y159" i="3"/>
  <c r="T159" i="3"/>
  <c r="Y157" i="3"/>
  <c r="T157" i="3"/>
  <c r="Y158" i="3"/>
  <c r="T158" i="3"/>
  <c r="Y155" i="3"/>
  <c r="T155" i="3"/>
  <c r="Y153" i="3"/>
  <c r="T153" i="3"/>
  <c r="Y154" i="3"/>
  <c r="T154" i="3"/>
  <c r="Y156" i="3"/>
  <c r="T156" i="3"/>
  <c r="Y152" i="3"/>
  <c r="T152" i="3"/>
  <c r="Y150" i="3"/>
  <c r="T150" i="3"/>
  <c r="I24" i="18"/>
  <c r="AA12" i="30"/>
  <c r="AC11" i="30"/>
  <c r="AA11" i="30"/>
  <c r="R11" i="30"/>
  <c r="Q11" i="30"/>
  <c r="AA7" i="30"/>
  <c r="R15" i="30"/>
  <c r="R14" i="30"/>
  <c r="R13" i="30"/>
  <c r="R12" i="30"/>
  <c r="R10" i="30"/>
  <c r="R9" i="30"/>
  <c r="R8" i="30"/>
  <c r="R7" i="30"/>
  <c r="AA8" i="30"/>
  <c r="AC15" i="30"/>
  <c r="AC14" i="30"/>
  <c r="AC13" i="30"/>
  <c r="AC12" i="30"/>
  <c r="AC10" i="30"/>
  <c r="AC9" i="30"/>
  <c r="AC8" i="30"/>
  <c r="AC7" i="30"/>
  <c r="Q15" i="30"/>
  <c r="Q14" i="30"/>
  <c r="Q13" i="30"/>
  <c r="Q12" i="30"/>
  <c r="Q10" i="30"/>
  <c r="Q9" i="30"/>
  <c r="Q8" i="30"/>
  <c r="Q7" i="30"/>
  <c r="P2" i="30"/>
  <c r="C10" i="28"/>
  <c r="AD11" i="30"/>
  <c r="AD8" i="30"/>
  <c r="AD7" i="30"/>
  <c r="AA9" i="30"/>
  <c r="AD9" i="30"/>
  <c r="L5" i="30"/>
  <c r="Y151" i="3"/>
  <c r="T151" i="3"/>
  <c r="Y149" i="3"/>
  <c r="T149" i="3"/>
  <c r="Y148" i="3"/>
  <c r="T148" i="3"/>
  <c r="Y143" i="3"/>
  <c r="T143" i="3"/>
  <c r="Y147" i="3"/>
  <c r="T147" i="3"/>
  <c r="Y145" i="3"/>
  <c r="T145" i="3"/>
  <c r="Y146" i="3"/>
  <c r="T146" i="3"/>
  <c r="Y144" i="3"/>
  <c r="T144" i="3"/>
  <c r="Y141" i="3"/>
  <c r="T141" i="3"/>
  <c r="Y140" i="3"/>
  <c r="T140" i="3"/>
  <c r="Y142" i="3"/>
  <c r="T142" i="3"/>
  <c r="Y139" i="3"/>
  <c r="T139" i="3"/>
  <c r="Y138" i="3"/>
  <c r="T138" i="3"/>
  <c r="Y137" i="3"/>
  <c r="T137" i="3"/>
  <c r="Y136" i="3"/>
  <c r="T136" i="3"/>
  <c r="Y135" i="3"/>
  <c r="T135" i="3"/>
  <c r="Y134" i="3"/>
  <c r="T134" i="3"/>
  <c r="Y129" i="3"/>
  <c r="T129" i="3"/>
  <c r="Y120" i="3"/>
  <c r="T120" i="3"/>
  <c r="Y15" i="3"/>
  <c r="T15" i="3"/>
  <c r="Y32" i="3"/>
  <c r="T32" i="3"/>
  <c r="Y25" i="3"/>
  <c r="T25" i="3"/>
  <c r="Y107" i="3"/>
  <c r="T107" i="3"/>
  <c r="Y106" i="3"/>
  <c r="T106" i="3"/>
  <c r="Y28" i="3"/>
  <c r="T28" i="3"/>
  <c r="B7" i="18"/>
  <c r="D7" i="18"/>
  <c r="H7" i="18"/>
  <c r="K7" i="18"/>
  <c r="O7" i="18"/>
  <c r="Y20" i="3"/>
  <c r="T20" i="3"/>
  <c r="N32" i="19"/>
  <c r="J32" i="19"/>
  <c r="L32" i="19"/>
  <c r="N31" i="19"/>
  <c r="J31" i="19"/>
  <c r="L31" i="19"/>
  <c r="N30" i="19"/>
  <c r="L30" i="19"/>
  <c r="J30" i="19"/>
  <c r="Y61" i="3"/>
  <c r="T61" i="3"/>
  <c r="Y16" i="3"/>
  <c r="T16" i="3"/>
  <c r="Y49" i="3"/>
  <c r="T49" i="3"/>
  <c r="Y8" i="3"/>
  <c r="T8" i="3"/>
  <c r="Y121" i="3"/>
  <c r="T121" i="3"/>
  <c r="Y110" i="3"/>
  <c r="T110" i="3"/>
  <c r="Y47" i="3"/>
  <c r="T47" i="3"/>
  <c r="Y9" i="3"/>
  <c r="T9" i="3"/>
  <c r="Y71" i="3"/>
  <c r="Y127" i="3"/>
  <c r="Y51" i="3"/>
  <c r="Y126" i="3"/>
  <c r="Y55" i="3"/>
  <c r="Y54" i="3"/>
  <c r="Y56" i="3"/>
  <c r="Y94" i="3"/>
  <c r="Y123" i="3"/>
  <c r="Y79" i="3"/>
  <c r="Y95" i="3"/>
  <c r="Y92" i="3"/>
  <c r="Y113" i="3"/>
  <c r="Y115" i="3"/>
  <c r="Y119" i="3"/>
  <c r="Y23" i="3"/>
  <c r="Y133" i="3"/>
  <c r="Y77" i="3"/>
  <c r="Y81" i="3"/>
  <c r="Y72" i="3"/>
  <c r="Y125" i="3"/>
  <c r="Y112" i="3"/>
  <c r="Y86" i="3"/>
  <c r="Y39" i="3"/>
  <c r="Y50" i="3"/>
  <c r="Y83" i="3"/>
  <c r="Y74" i="3"/>
  <c r="Y85" i="3"/>
  <c r="Y18" i="3"/>
  <c r="Y60" i="3"/>
  <c r="Y58" i="3"/>
  <c r="Y26" i="3"/>
  <c r="Y93" i="3"/>
  <c r="Y31" i="3"/>
  <c r="Y98" i="3"/>
  <c r="Y70" i="3"/>
  <c r="Y73" i="3"/>
  <c r="Y122" i="3"/>
  <c r="Y116" i="3"/>
  <c r="Y7" i="3"/>
  <c r="Y117" i="3"/>
  <c r="Y29" i="3"/>
  <c r="Y17" i="3"/>
  <c r="Y132" i="3"/>
  <c r="Y128" i="3"/>
  <c r="Y40" i="3"/>
  <c r="Y59" i="3"/>
  <c r="Y42" i="3"/>
  <c r="Y109" i="3"/>
  <c r="Y76" i="3"/>
  <c r="Y41" i="3"/>
  <c r="Y45" i="3"/>
  <c r="Y44" i="3"/>
  <c r="Y78" i="3"/>
  <c r="Y43" i="3"/>
  <c r="Y114" i="3"/>
  <c r="Y46" i="3"/>
  <c r="Y88" i="3"/>
  <c r="Y52" i="3"/>
  <c r="Y90" i="3"/>
  <c r="Y53" i="3"/>
  <c r="Y68" i="3"/>
  <c r="Y48" i="3"/>
  <c r="Y24" i="3"/>
  <c r="Y19" i="3"/>
  <c r="Y118" i="3"/>
  <c r="Y97" i="3"/>
  <c r="Y105" i="3"/>
  <c r="Y75" i="3"/>
  <c r="Y21" i="3"/>
  <c r="Y30" i="3"/>
  <c r="Y27" i="3"/>
  <c r="Y80" i="3"/>
  <c r="Y82" i="3"/>
  <c r="Y101" i="3"/>
  <c r="Y63" i="3"/>
  <c r="Y69" i="3"/>
  <c r="Y65" i="3"/>
  <c r="Y103" i="3"/>
  <c r="Y108" i="3"/>
  <c r="Y111" i="3"/>
  <c r="Y84" i="3"/>
  <c r="Y104" i="3"/>
  <c r="Y33" i="3"/>
  <c r="Y96" i="3"/>
  <c r="Y87" i="3"/>
  <c r="Y131" i="3"/>
  <c r="Y34" i="3"/>
  <c r="Y10" i="3"/>
  <c r="Y14" i="3"/>
  <c r="Y12" i="3"/>
  <c r="Y11" i="3"/>
  <c r="Y13" i="3"/>
  <c r="Y37" i="3"/>
  <c r="Y62" i="3"/>
  <c r="Y102" i="3"/>
  <c r="Y36" i="3"/>
  <c r="Y38" i="3"/>
  <c r="Y57" i="3"/>
  <c r="Y66" i="3"/>
  <c r="Y67" i="3"/>
  <c r="Y89" i="3"/>
  <c r="Y100" i="3"/>
  <c r="Y91" i="3"/>
  <c r="Y64" i="3"/>
  <c r="Y99" i="3"/>
  <c r="Y124" i="3"/>
  <c r="Y22" i="3"/>
  <c r="Y35" i="3"/>
  <c r="Y130" i="3"/>
  <c r="K4" i="3"/>
  <c r="N47" i="27"/>
  <c r="J47" i="27"/>
  <c r="L47" i="27"/>
  <c r="N46" i="27"/>
  <c r="J46" i="27"/>
  <c r="L46" i="27"/>
  <c r="AA10" i="30"/>
  <c r="AD10" i="30"/>
  <c r="AA13" i="30"/>
  <c r="AD13" i="30"/>
  <c r="T9" i="17"/>
  <c r="M9" i="17"/>
  <c r="O9" i="17"/>
  <c r="H9" i="17"/>
  <c r="Q9" i="17" s="1"/>
  <c r="T10" i="17"/>
  <c r="M10" i="17"/>
  <c r="O10" i="17"/>
  <c r="H10" i="17"/>
  <c r="Q10" i="17" s="1"/>
  <c r="T8" i="17"/>
  <c r="M8" i="17"/>
  <c r="O8" i="17"/>
  <c r="H8" i="17"/>
  <c r="Q8" i="17" s="1"/>
  <c r="T33" i="3"/>
  <c r="AD12" i="30"/>
  <c r="AA14" i="30"/>
  <c r="AD14" i="30"/>
  <c r="T130" i="3"/>
  <c r="T35" i="3"/>
  <c r="T22" i="3"/>
  <c r="T124" i="3"/>
  <c r="T99" i="3"/>
  <c r="T91" i="3"/>
  <c r="T64" i="3"/>
  <c r="T100" i="3"/>
  <c r="T89" i="3"/>
  <c r="T67" i="3"/>
  <c r="T66" i="3"/>
  <c r="T57" i="3"/>
  <c r="T38" i="3"/>
  <c r="T36" i="3"/>
  <c r="T102" i="3"/>
  <c r="T62" i="3"/>
  <c r="T37" i="3"/>
  <c r="T13" i="3"/>
  <c r="T11" i="3"/>
  <c r="T12" i="3"/>
  <c r="T14" i="3"/>
  <c r="T10" i="3"/>
  <c r="T34" i="3"/>
  <c r="T131" i="3"/>
  <c r="T96" i="3"/>
  <c r="T87" i="3"/>
  <c r="T104" i="3"/>
  <c r="T84" i="3"/>
  <c r="T111" i="3"/>
  <c r="T108" i="3"/>
  <c r="T103" i="3"/>
  <c r="T65" i="3"/>
  <c r="T69" i="3"/>
  <c r="T63" i="3"/>
  <c r="T101" i="3"/>
  <c r="T82" i="3"/>
  <c r="T80" i="3"/>
  <c r="T27" i="3"/>
  <c r="T30" i="3"/>
  <c r="T21" i="3"/>
  <c r="T75" i="3"/>
  <c r="T105" i="3"/>
  <c r="T97" i="3"/>
  <c r="T118" i="3"/>
  <c r="T19" i="3"/>
  <c r="T24" i="3"/>
  <c r="T48" i="3"/>
  <c r="T68" i="3"/>
  <c r="T53" i="3"/>
  <c r="T90" i="3"/>
  <c r="T52" i="3"/>
  <c r="T88" i="3"/>
  <c r="T46" i="3"/>
  <c r="T114" i="3"/>
  <c r="T43" i="3"/>
  <c r="T78" i="3"/>
  <c r="T45" i="3"/>
  <c r="T44" i="3"/>
  <c r="T41" i="3"/>
  <c r="T76" i="3"/>
  <c r="T109" i="3"/>
  <c r="T42" i="3"/>
  <c r="T59" i="3"/>
  <c r="T40" i="3"/>
  <c r="T128" i="3"/>
  <c r="T132" i="3"/>
  <c r="T17" i="3"/>
  <c r="T29" i="3"/>
  <c r="T117" i="3"/>
  <c r="T7" i="3"/>
  <c r="T116" i="3"/>
  <c r="T122" i="3"/>
  <c r="T73" i="3"/>
  <c r="T70" i="3"/>
  <c r="T98" i="3"/>
  <c r="T31" i="3"/>
  <c r="T93" i="3"/>
  <c r="T26" i="3"/>
  <c r="T58" i="3"/>
  <c r="T60" i="3"/>
  <c r="T18" i="3"/>
  <c r="T85" i="3"/>
  <c r="T74" i="3"/>
  <c r="T83" i="3"/>
  <c r="T50" i="3"/>
  <c r="T86" i="3"/>
  <c r="T39" i="3"/>
  <c r="T112" i="3"/>
  <c r="T125" i="3"/>
  <c r="T72" i="3"/>
  <c r="T81" i="3"/>
  <c r="T77" i="3"/>
  <c r="T133" i="3"/>
  <c r="T23" i="3"/>
  <c r="T119" i="3"/>
  <c r="T115" i="3"/>
  <c r="T113" i="3"/>
  <c r="T92" i="3"/>
  <c r="T95" i="3"/>
  <c r="T79" i="3"/>
  <c r="T123" i="3"/>
  <c r="T94" i="3"/>
  <c r="T56" i="3"/>
  <c r="T54" i="3"/>
  <c r="T55" i="3"/>
  <c r="T126" i="3"/>
  <c r="T51" i="3"/>
  <c r="T127" i="3"/>
  <c r="T71" i="3"/>
  <c r="B3" i="27"/>
  <c r="N37" i="27"/>
  <c r="J37" i="27"/>
  <c r="L37" i="27"/>
  <c r="N45" i="27"/>
  <c r="J45" i="27"/>
  <c r="L45" i="27"/>
  <c r="N44" i="27"/>
  <c r="J44" i="27"/>
  <c r="L44" i="27"/>
  <c r="N43" i="27"/>
  <c r="J43" i="27"/>
  <c r="L43" i="27"/>
  <c r="N42" i="27"/>
  <c r="J42" i="27"/>
  <c r="L42" i="27"/>
  <c r="N41" i="27"/>
  <c r="J41" i="27"/>
  <c r="L41" i="27"/>
  <c r="N40" i="27"/>
  <c r="J40" i="27"/>
  <c r="L40" i="27"/>
  <c r="N38" i="27"/>
  <c r="J38" i="27"/>
  <c r="L38" i="27"/>
  <c r="N26" i="27"/>
  <c r="J26" i="27"/>
  <c r="L26" i="27"/>
  <c r="N25" i="27"/>
  <c r="J25" i="27"/>
  <c r="L25" i="27"/>
  <c r="N24" i="27"/>
  <c r="J24" i="27"/>
  <c r="L24" i="27"/>
  <c r="N7" i="27"/>
  <c r="J7" i="27"/>
  <c r="L7" i="27"/>
  <c r="N6" i="27"/>
  <c r="N3" i="27" s="1"/>
  <c r="J6" i="27"/>
  <c r="L6" i="27"/>
  <c r="AA15" i="30"/>
  <c r="N22" i="27"/>
  <c r="N29" i="19"/>
  <c r="J29" i="19"/>
  <c r="L29" i="19"/>
  <c r="N28" i="19"/>
  <c r="J28" i="19"/>
  <c r="L28" i="19"/>
  <c r="N11" i="19"/>
  <c r="J11" i="19"/>
  <c r="L11" i="19"/>
  <c r="N10" i="19"/>
  <c r="J10" i="19"/>
  <c r="L10" i="19"/>
  <c r="N9" i="19"/>
  <c r="J9" i="19"/>
  <c r="L9" i="19"/>
  <c r="N8" i="19"/>
  <c r="J8" i="19"/>
  <c r="L8" i="19"/>
  <c r="N7" i="19"/>
  <c r="J7" i="19"/>
  <c r="L7" i="19"/>
  <c r="N6" i="19"/>
  <c r="J6" i="19"/>
  <c r="L6" i="19"/>
  <c r="N5" i="19"/>
  <c r="J5" i="19"/>
  <c r="L5" i="19"/>
  <c r="N3" i="19"/>
  <c r="AA5" i="30"/>
  <c r="AD15" i="30"/>
  <c r="AD4" i="30"/>
  <c r="D10" i="28"/>
  <c r="N26" i="19"/>
  <c r="T1" i="16"/>
  <c r="O7" i="16"/>
  <c r="L7" i="16"/>
  <c r="F7" i="16"/>
  <c r="B7" i="16"/>
  <c r="U72" i="16"/>
  <c r="U71" i="16"/>
  <c r="U69" i="16"/>
  <c r="U68" i="16"/>
  <c r="U66" i="16"/>
  <c r="U65" i="16"/>
  <c r="U63" i="16"/>
  <c r="U62" i="16"/>
  <c r="U60" i="16"/>
  <c r="U59" i="16"/>
  <c r="U57" i="16"/>
  <c r="U56" i="16"/>
  <c r="U54" i="16"/>
  <c r="U53" i="16"/>
  <c r="U51" i="16"/>
  <c r="U50" i="16"/>
  <c r="U48" i="16"/>
  <c r="U47" i="16"/>
  <c r="U45" i="16"/>
  <c r="U44" i="16"/>
  <c r="U42" i="16"/>
  <c r="U41" i="16"/>
  <c r="U39" i="16"/>
  <c r="U38" i="16"/>
  <c r="U36" i="16"/>
  <c r="U35" i="16"/>
  <c r="U33" i="16"/>
  <c r="U32" i="16"/>
  <c r="U30" i="16"/>
  <c r="U29" i="16"/>
  <c r="U27" i="16"/>
  <c r="U26" i="16"/>
  <c r="U24" i="16"/>
  <c r="U23" i="16"/>
  <c r="U21" i="16"/>
  <c r="U20" i="16"/>
  <c r="U18" i="16"/>
  <c r="U17" i="16"/>
  <c r="U15" i="16"/>
  <c r="U14" i="16"/>
  <c r="U12" i="16"/>
  <c r="U11" i="16"/>
  <c r="S11" i="16"/>
  <c r="S12" i="16"/>
  <c r="M71" i="16"/>
  <c r="M68" i="16"/>
  <c r="M65" i="16"/>
  <c r="M62" i="16"/>
  <c r="M59" i="16"/>
  <c r="M56" i="16"/>
  <c r="M53" i="16"/>
  <c r="M50" i="16"/>
  <c r="M47" i="16"/>
  <c r="M44" i="16"/>
  <c r="M41" i="16"/>
  <c r="M38" i="16"/>
  <c r="M35" i="16"/>
  <c r="M32" i="16"/>
  <c r="M29" i="16"/>
  <c r="M26" i="16"/>
  <c r="M23" i="16"/>
  <c r="M20" i="16"/>
  <c r="M17" i="16"/>
  <c r="M14" i="16"/>
  <c r="G73" i="16"/>
  <c r="U73" i="16"/>
  <c r="Q72" i="16"/>
  <c r="S71" i="16"/>
  <c r="S72" i="16"/>
  <c r="Q71" i="16"/>
  <c r="G70" i="16"/>
  <c r="U70" i="16"/>
  <c r="Q69" i="16"/>
  <c r="S68" i="16"/>
  <c r="S69" i="16"/>
  <c r="Q68" i="16"/>
  <c r="G67" i="16"/>
  <c r="U67" i="16"/>
  <c r="Q66" i="16"/>
  <c r="S65" i="16"/>
  <c r="S66" i="16"/>
  <c r="Q65" i="16"/>
  <c r="G64" i="16"/>
  <c r="U64" i="16"/>
  <c r="Q63" i="16"/>
  <c r="S62" i="16"/>
  <c r="S63" i="16"/>
  <c r="Q62" i="16"/>
  <c r="G61" i="16"/>
  <c r="U61" i="16"/>
  <c r="Q60" i="16"/>
  <c r="S59" i="16"/>
  <c r="S60" i="16"/>
  <c r="Q59" i="16"/>
  <c r="G58" i="16"/>
  <c r="U58" i="16"/>
  <c r="Q57" i="16"/>
  <c r="S56" i="16"/>
  <c r="S57" i="16"/>
  <c r="Q56" i="16"/>
  <c r="G55" i="16"/>
  <c r="U55" i="16"/>
  <c r="Q54" i="16"/>
  <c r="S53" i="16"/>
  <c r="S54" i="16"/>
  <c r="Q53" i="16"/>
  <c r="G52" i="16"/>
  <c r="U52" i="16"/>
  <c r="Q51" i="16"/>
  <c r="S50" i="16"/>
  <c r="S51" i="16"/>
  <c r="Q50" i="16"/>
  <c r="G49" i="16"/>
  <c r="U49" i="16"/>
  <c r="Q48" i="16"/>
  <c r="S47" i="16"/>
  <c r="S48" i="16"/>
  <c r="Q47" i="16"/>
  <c r="G46" i="16"/>
  <c r="U46" i="16"/>
  <c r="Q45" i="16"/>
  <c r="S44" i="16"/>
  <c r="S45" i="16"/>
  <c r="Q44" i="16"/>
  <c r="G43" i="16"/>
  <c r="U43" i="16"/>
  <c r="Q42" i="16"/>
  <c r="S41" i="16"/>
  <c r="S42" i="16"/>
  <c r="Q41" i="16"/>
  <c r="G40" i="16"/>
  <c r="U40" i="16"/>
  <c r="Q39" i="16"/>
  <c r="S38" i="16"/>
  <c r="S39" i="16"/>
  <c r="Q38" i="16"/>
  <c r="G37" i="16"/>
  <c r="U37" i="16"/>
  <c r="Q36" i="16"/>
  <c r="S35" i="16"/>
  <c r="S36" i="16"/>
  <c r="Q35" i="16"/>
  <c r="G34" i="16"/>
  <c r="U34" i="16"/>
  <c r="Q33" i="16"/>
  <c r="S32" i="16"/>
  <c r="S33" i="16"/>
  <c r="Q32" i="16"/>
  <c r="G31" i="16"/>
  <c r="U31" i="16"/>
  <c r="Q30" i="16"/>
  <c r="S29" i="16"/>
  <c r="S30" i="16"/>
  <c r="Q29" i="16"/>
  <c r="G28" i="16"/>
  <c r="U28" i="16"/>
  <c r="Q27" i="16"/>
  <c r="S26" i="16"/>
  <c r="S27" i="16"/>
  <c r="Q26" i="16"/>
  <c r="G25" i="16"/>
  <c r="U25" i="16"/>
  <c r="Q24" i="16"/>
  <c r="S23" i="16"/>
  <c r="S24" i="16"/>
  <c r="Q23" i="16"/>
  <c r="G22" i="16"/>
  <c r="U22" i="16"/>
  <c r="Q21" i="16"/>
  <c r="S20" i="16"/>
  <c r="S21" i="16"/>
  <c r="Q20" i="16"/>
  <c r="G19" i="16"/>
  <c r="U19" i="16"/>
  <c r="Q18" i="16"/>
  <c r="S17" i="16"/>
  <c r="S18" i="16"/>
  <c r="Q17" i="16"/>
  <c r="G16" i="16"/>
  <c r="U16" i="16"/>
  <c r="Q15" i="16"/>
  <c r="S14" i="16"/>
  <c r="S15" i="16"/>
  <c r="Q14" i="16"/>
  <c r="G13" i="16"/>
  <c r="U13" i="16"/>
  <c r="M11" i="16"/>
  <c r="B2" i="19"/>
  <c r="D8" i="28"/>
  <c r="Q12" i="16"/>
  <c r="Q11" i="16"/>
  <c r="I27" i="18"/>
  <c r="Q27" i="18"/>
  <c r="I26" i="18"/>
  <c r="Q26" i="18"/>
  <c r="I25" i="18"/>
  <c r="Q25" i="18"/>
  <c r="Q24" i="18"/>
  <c r="I23" i="18"/>
  <c r="I22" i="18"/>
  <c r="Q22" i="18"/>
  <c r="I21" i="18"/>
  <c r="Q21" i="18"/>
  <c r="I20" i="18"/>
  <c r="Q20" i="18"/>
  <c r="I19" i="18"/>
  <c r="Q19" i="18"/>
  <c r="I18" i="18"/>
  <c r="Q18" i="18"/>
  <c r="I17" i="18"/>
  <c r="Q17" i="18"/>
  <c r="I16" i="18"/>
  <c r="Q16" i="18"/>
  <c r="I15" i="18"/>
  <c r="Q15" i="18"/>
  <c r="I14" i="18"/>
  <c r="Q14" i="18"/>
  <c r="I13" i="18"/>
  <c r="Q13" i="18"/>
  <c r="I12" i="18"/>
  <c r="Q12" i="18"/>
  <c r="I11" i="18"/>
  <c r="Q11" i="18"/>
  <c r="T2" i="18"/>
  <c r="U27" i="18"/>
  <c r="U26" i="18"/>
  <c r="U25" i="18"/>
  <c r="U24" i="18"/>
  <c r="U23" i="18"/>
  <c r="U22" i="18"/>
  <c r="U21" i="18"/>
  <c r="U20" i="18"/>
  <c r="U19" i="18"/>
  <c r="U18" i="18"/>
  <c r="U17" i="18"/>
  <c r="U16" i="18"/>
  <c r="U15" i="18"/>
  <c r="U14" i="18"/>
  <c r="U13" i="18"/>
  <c r="U12" i="18"/>
  <c r="U11" i="18"/>
  <c r="Q23" i="18"/>
  <c r="Q9" i="18"/>
  <c r="D4" i="28"/>
  <c r="Q9" i="16"/>
  <c r="D6" i="28"/>
  <c r="M7" i="17"/>
  <c r="O7" i="17" s="1"/>
  <c r="H7" i="17"/>
  <c r="Q7" i="17" s="1"/>
  <c r="M6" i="17"/>
  <c r="O6" i="17"/>
  <c r="H6" i="17"/>
  <c r="Q6" i="17"/>
  <c r="H5" i="17"/>
  <c r="Q5" i="17" s="1"/>
  <c r="T7" i="17"/>
  <c r="T6" i="17"/>
  <c r="T5" i="17"/>
  <c r="M5" i="17"/>
  <c r="O5" i="17"/>
  <c r="B3" i="19"/>
  <c r="N35" i="27" l="1"/>
  <c r="B2" i="27" s="1"/>
  <c r="D9" i="28" s="1"/>
  <c r="T5" i="3"/>
  <c r="D3" i="28" s="1"/>
  <c r="Q3" i="17"/>
  <c r="D5" i="28" s="1"/>
  <c r="K26" i="32"/>
  <c r="S6" i="32"/>
  <c r="K6" i="32"/>
  <c r="D7" i="28" l="1"/>
  <c r="D13" i="2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 Cuscan Cezario</author>
  </authors>
  <commentList>
    <comment ref="A5" authorId="0" shapeId="0" xr:uid="{B2571352-1512-4646-A451-C3C682D3E13F}">
      <text>
        <r>
          <rPr>
            <sz val="9"/>
            <color indexed="81"/>
            <rFont val="Segoe UI"/>
            <family val="2"/>
          </rPr>
          <t>Caixas com nomes, indicam a impressão contida - caixas novas sem impressão, começam com S/IMP e um número na sequencia.
Entre parenteses ficam suas referências - podem haver caixas Usadas sem impressão, começadas com S/IMP seguida de número - verifique na coluna "G" o estado da caixas.
É possivel pelo recurso FILTRAR - deixar contemplado apenas produtos de seu interesse, facilitando a visualização - vale a pena conferir.
Mantemos na tela o mais básico para uma melhor compreensão da tabela - última coluna muda conforme for acionando o Botão Alternar outras informações.
Qualquer dúvida entre em contato conosco (11 3227-6515)</t>
        </r>
      </text>
    </comment>
    <comment ref="B5" authorId="0" shapeId="0" xr:uid="{E8154BEB-98E7-411D-A5D3-B4D37BCF882C}">
      <text>
        <r>
          <rPr>
            <sz val="9"/>
            <color indexed="81"/>
            <rFont val="Segoe UI"/>
            <family val="2"/>
          </rPr>
          <t>Caixas com nomes, indicam a impressão contida - caixas novas sem impressão, começam com S/IMP e um número na sequencia.
Entre parenteses ficam suas referências - podem haver caixas Usadas sem impressão, começadas com S/IMP seguida de número - verifique na coluna "G" o estado da caixas.
É possivel pelo recurso FILTRAR - deixar contemplado apenas produtos de seu interesse, facilitando a visualização - vale a pena conferir.
Mantemos na tela o mais básico para uma melhor compreensão da tabela - última coluna muda conforme for acionando o Botão Alternar outras informações.
Qualquer dúvida entre em contato conosco (11 3227-6515)</t>
        </r>
      </text>
    </comment>
    <comment ref="C5" authorId="0" shapeId="0" xr:uid="{57EFE2C0-C9D3-48FE-A66F-F8A5C2CAB9A5}">
      <text>
        <r>
          <rPr>
            <b/>
            <sz val="9"/>
            <color indexed="81"/>
            <rFont val="Segoe UI"/>
            <family val="2"/>
          </rPr>
          <t>COMPRIMENTO (cm)</t>
        </r>
      </text>
    </comment>
    <comment ref="D5" authorId="0" shapeId="0" xr:uid="{104D14ED-A43B-42B4-8D59-92B4CE8D6CA1}">
      <text>
        <r>
          <rPr>
            <b/>
            <sz val="9"/>
            <color indexed="81"/>
            <rFont val="Segoe UI"/>
            <family val="2"/>
          </rPr>
          <t>LARGURA (cm)</t>
        </r>
      </text>
    </comment>
    <comment ref="E5" authorId="0" shapeId="0" xr:uid="{D2D16E96-E7D2-42BD-89E5-DC346326E1E9}">
      <text>
        <r>
          <rPr>
            <b/>
            <sz val="9"/>
            <color indexed="81"/>
            <rFont val="Segoe UI"/>
            <family val="2"/>
          </rPr>
          <t>ALTURA (cm)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5" authorId="0" shapeId="0" xr:uid="{22D2915E-53B4-4957-AFF4-E7A4D395F104}">
      <text>
        <r>
          <rPr>
            <b/>
            <sz val="9"/>
            <color indexed="81"/>
            <rFont val="Segoe UI"/>
            <family val="2"/>
          </rPr>
          <t>ESTADO:
N = NOVA
U = USADA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" authorId="0" shapeId="0" xr:uid="{24A76C44-3AA0-4E2B-933D-7B24FEB67DCE}">
      <text>
        <r>
          <rPr>
            <b/>
            <sz val="9"/>
            <color indexed="81"/>
            <rFont val="Segoe UI"/>
            <family val="2"/>
          </rPr>
          <t>FORMATO:
M = Maleta
A = Automontável</t>
        </r>
      </text>
    </comment>
    <comment ref="I5" authorId="0" shapeId="0" xr:uid="{7ED37D92-21C0-4EA0-9F04-8183F39B689D}">
      <text>
        <r>
          <rPr>
            <b/>
            <sz val="9"/>
            <color indexed="81"/>
            <rFont val="Segoe UI"/>
            <family val="2"/>
          </rPr>
          <t>ONDA:
Duplex
Triplex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 Cuscan Cezario</author>
  </authors>
  <commentList>
    <comment ref="B5" authorId="0" shapeId="0" xr:uid="{C3BB76F8-77E9-4A76-A575-8F53ED088C30}">
      <text>
        <r>
          <rPr>
            <sz val="9"/>
            <color indexed="81"/>
            <rFont val="Segoe UI"/>
            <family val="2"/>
          </rPr>
          <t>Caixas com nomes, indicam a impressão contida - caixas novas sem impressão, começam com S/IMP e um número na sequencia.
Entre parenteses ficam suas referências - podem haver caixas Usadas sem impressão, começadas com S/IMP seguida de número - verifique na coluna "G" o estado da caixas.
É possivel pelo recurso FILTRAR - deixar contemplado apenas produtos de seu interesse, facilitando a visualização - vale a pena conferir.
Mantemos na tela o mais básico para uma melhor compreensão da tabela - última coluna muda conforme for acionando o Botão Alternar outras informações.
Qualquer dúvida entre em contato conosco (11 3227-6515)</t>
        </r>
      </text>
    </comment>
    <comment ref="C5" authorId="0" shapeId="0" xr:uid="{EB44E163-DD83-49E0-9E5E-52F6ACAD0CE0}">
      <text>
        <r>
          <rPr>
            <sz val="9"/>
            <color indexed="81"/>
            <rFont val="Segoe UI"/>
            <family val="2"/>
          </rPr>
          <t>Caixas com nomes, indicam a impressão contida - caixas novas sem impressão, começam com S/IMP e um número na sequencia.
Entre parenteses ficam suas referências - podem haver caixas Usadas sem impressão, começadas com S/IMP seguida de número - verifique na coluna "G" o estado da caixas.
É possivel pelo recurso FILTRAR - deixar contemplado apenas produtos de seu interesse, facilitando a visualização - vale a pena conferir.
Mantemos na tela o mais básico para uma melhor compreensão da tabela - última coluna muda conforme for acionando o Botão Alternar outras informações.
Qualquer dúvida entre em contato conosco (11 3227-6515)</t>
        </r>
      </text>
    </comment>
    <comment ref="D5" authorId="0" shapeId="0" xr:uid="{1A3041F8-9FBA-447F-8D6A-572DCFEF4E0F}">
      <text>
        <r>
          <rPr>
            <b/>
            <sz val="9"/>
            <color indexed="81"/>
            <rFont val="Segoe UI"/>
            <family val="2"/>
          </rPr>
          <t>COMPRIMENTO (cm)</t>
        </r>
      </text>
    </comment>
    <comment ref="E5" authorId="0" shapeId="0" xr:uid="{0399793C-6614-4623-A446-A4CBEC4052D6}">
      <text>
        <r>
          <rPr>
            <b/>
            <sz val="9"/>
            <color indexed="81"/>
            <rFont val="Segoe UI"/>
            <family val="2"/>
          </rPr>
          <t>LARGURA (cm)</t>
        </r>
      </text>
    </comment>
    <comment ref="F5" authorId="0" shapeId="0" xr:uid="{46D665AC-71F0-4EB2-B1B1-1C57DB646A35}">
      <text>
        <r>
          <rPr>
            <b/>
            <sz val="9"/>
            <color indexed="81"/>
            <rFont val="Segoe UI"/>
            <family val="2"/>
          </rPr>
          <t>ALTURA (cm)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" authorId="0" shapeId="0" xr:uid="{5F201B23-DBC0-4E1A-A88D-7CFE02D04940}">
      <text>
        <r>
          <rPr>
            <b/>
            <sz val="9"/>
            <color indexed="81"/>
            <rFont val="Segoe UI"/>
            <family val="2"/>
          </rPr>
          <t>ESTADO:
N = NOVA
U = USADA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5" authorId="0" shapeId="0" xr:uid="{895A6455-E211-42F3-9D6F-F7605D985C1A}">
      <text>
        <r>
          <rPr>
            <b/>
            <sz val="9"/>
            <color indexed="81"/>
            <rFont val="Segoe UI"/>
            <family val="2"/>
          </rPr>
          <t>FORMATO:
M = Maleta
A = Automontável</t>
        </r>
      </text>
    </comment>
    <comment ref="J5" authorId="0" shapeId="0" xr:uid="{F0895BE6-3540-4E19-917E-D18A5485FD18}">
      <text>
        <r>
          <rPr>
            <b/>
            <sz val="9"/>
            <color indexed="81"/>
            <rFont val="Segoe UI"/>
            <family val="2"/>
          </rPr>
          <t>ONDA:
Duplex
Triplex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<sst xmlns="http://schemas.openxmlformats.org/spreadsheetml/2006/main" count="2331" uniqueCount="469">
  <si>
    <t>Peso</t>
  </si>
  <si>
    <t>D</t>
  </si>
  <si>
    <t>A</t>
  </si>
  <si>
    <t>N</t>
  </si>
  <si>
    <t>S</t>
  </si>
  <si>
    <t>C</t>
  </si>
  <si>
    <t>S/IMP 070704 Nº 1 (DAN)</t>
  </si>
  <si>
    <t>M</t>
  </si>
  <si>
    <t>S/IMP 101004 Nº 2 (DAN)</t>
  </si>
  <si>
    <t>S/IMP 120345 AT</t>
  </si>
  <si>
    <t>T</t>
  </si>
  <si>
    <t>U</t>
  </si>
  <si>
    <t>S/IMP 201812 (COM ALÇA)</t>
  </si>
  <si>
    <t>PARDA CONJUGADA P</t>
  </si>
  <si>
    <t>S/IMP 221006</t>
  </si>
  <si>
    <t>TRESEMME 231722</t>
  </si>
  <si>
    <t>PARDA CONJUGADA M</t>
  </si>
  <si>
    <t>CORREIO Nº 02</t>
  </si>
  <si>
    <t>S/IMP 281703</t>
  </si>
  <si>
    <t>S/IMP 361504 (TECLADO)</t>
  </si>
  <si>
    <t>S/IMP 382117</t>
  </si>
  <si>
    <t>Colgate 38x24x17</t>
  </si>
  <si>
    <t>S/IMP 403010</t>
  </si>
  <si>
    <t>S/IMP 503320</t>
  </si>
  <si>
    <t>L</t>
  </si>
  <si>
    <t/>
  </si>
  <si>
    <t>Digitada</t>
  </si>
  <si>
    <t>Produto</t>
  </si>
  <si>
    <t>P</t>
  </si>
  <si>
    <t>F</t>
  </si>
  <si>
    <t>E</t>
  </si>
  <si>
    <t>Preço unit para</t>
  </si>
  <si>
    <t>Medidas em cm</t>
  </si>
  <si>
    <t>PAC</t>
  </si>
  <si>
    <t>O</t>
  </si>
  <si>
    <t>S/imp 080808 (C-06 P)</t>
  </si>
  <si>
    <t>S/imp 080860 (Canudo)</t>
  </si>
  <si>
    <t>S/IMP 0808104 AT (CANUDO)</t>
  </si>
  <si>
    <t>S/imp 111139 (p/ Garrafa)</t>
  </si>
  <si>
    <t>CORREIO nº B-01</t>
  </si>
  <si>
    <t>S/imp 121210 (C-06)</t>
  </si>
  <si>
    <t>S/Imp 141104 (C-05)</t>
  </si>
  <si>
    <t>S/imp 151007</t>
  </si>
  <si>
    <t>S/IMP 151010</t>
  </si>
  <si>
    <t>S/imp 151112 (tipo caneca)</t>
  </si>
  <si>
    <t>S/imp 151401(p/01CD)</t>
  </si>
  <si>
    <t>S/imp 151402 (p/02 CDs)</t>
  </si>
  <si>
    <t>S/imp 151510</t>
  </si>
  <si>
    <t>S/Imp 151515 (Cubo 15)</t>
  </si>
  <si>
    <t>S/imp 161102 envelope</t>
  </si>
  <si>
    <t>S/imp 161103 (Automontável)</t>
  </si>
  <si>
    <t>S/imp 161103 (Maleta)</t>
  </si>
  <si>
    <t>S/imp 161103 smart</t>
  </si>
  <si>
    <t>CORREIO Nº 0 S/IMP</t>
  </si>
  <si>
    <t>S/imp 161106 (tipo nº 0)</t>
  </si>
  <si>
    <t>S/imp 161108 (tipo n°0) M</t>
  </si>
  <si>
    <t>S/imp 161110 (tipo n°0) G</t>
  </si>
  <si>
    <t>S/imp 161316 (Tipo Flex A)</t>
  </si>
  <si>
    <t>S/imp 171006 (C-07)</t>
  </si>
  <si>
    <t>S/imp 171405 (RC)</t>
  </si>
  <si>
    <t>S/imp 181002 (Película)</t>
  </si>
  <si>
    <t>S/imp 181309</t>
  </si>
  <si>
    <t>Branca nº 06</t>
  </si>
  <si>
    <t>S/imp 181818 (Cubo 18)</t>
  </si>
  <si>
    <t>S/imp 191103 (Maleta Comprida BV)</t>
  </si>
  <si>
    <t>S/IMP 191103 (Pelicula Reforçada)</t>
  </si>
  <si>
    <t>S/imp 191104 (Maleta Comprida)</t>
  </si>
  <si>
    <t>S/imp 191212</t>
  </si>
  <si>
    <t>S/imp 191404(p/01-02DVD1s)</t>
  </si>
  <si>
    <t>S/IMP 201303</t>
  </si>
  <si>
    <t>S/IMP 201406 (Tipo Gel)</t>
  </si>
  <si>
    <t>CORREIO Nº 01 S/IMP</t>
  </si>
  <si>
    <t>S/imp 201411</t>
  </si>
  <si>
    <t>S/imp 201515</t>
  </si>
  <si>
    <t>S/imp 201607</t>
  </si>
  <si>
    <t>S/IMP 201609 (TIPO BRANCA 3)</t>
  </si>
  <si>
    <t>Branca Conjugada P 20x20x7</t>
  </si>
  <si>
    <t>S/IMP 202008</t>
  </si>
  <si>
    <t>S/imp 202020 (Cubo 20)</t>
  </si>
  <si>
    <t>S/imp 211404 (C-09)</t>
  </si>
  <si>
    <t>S/imp 221602 (Tablet)</t>
  </si>
  <si>
    <t>S/imp 222115 (P/ Bone)</t>
  </si>
  <si>
    <t>S/imp 241005 (C-10)</t>
  </si>
  <si>
    <t>S/IMP 241503</t>
  </si>
  <si>
    <t>S/IMP 241506 D-b</t>
  </si>
  <si>
    <t>S/imp 241510 (tipo flex B)</t>
  </si>
  <si>
    <t>S/imp 241705 (C-11)</t>
  </si>
  <si>
    <t>S/imp 241710 (Tipo Flex BL)</t>
  </si>
  <si>
    <t>S/imp 252008</t>
  </si>
  <si>
    <t>S/imp 252020 (20A, 15A e 10A)</t>
  </si>
  <si>
    <t>S/imp 261218 (tipo Bozzano 261218)</t>
  </si>
  <si>
    <t>S/imp 261415 (nova)</t>
  </si>
  <si>
    <t>CORREIO Nº 02 S/IMP</t>
  </si>
  <si>
    <t>S/imp 271607 (C-03)</t>
  </si>
  <si>
    <t>S/imp 271809 (tipo nº 02)</t>
  </si>
  <si>
    <t>Branca Conjugada M 29x23x07</t>
  </si>
  <si>
    <t>S/imp 301104</t>
  </si>
  <si>
    <t>S/imp 301110 (tipo 3E)</t>
  </si>
  <si>
    <t>CORREIO Nº 03 S/IMP</t>
  </si>
  <si>
    <t>Pérola</t>
  </si>
  <si>
    <t>S/imp 302020 (20A, 15A e 10A)</t>
  </si>
  <si>
    <t>PARDA CONJUGADA G</t>
  </si>
  <si>
    <t>S/imp 311410</t>
  </si>
  <si>
    <t>S/IMP 312104 (apostila)</t>
  </si>
  <si>
    <t>S/imp 312212 (tipo nº 03)</t>
  </si>
  <si>
    <t>S/imp 312508 U (nova)</t>
  </si>
  <si>
    <t>S/imp 322306</t>
  </si>
  <si>
    <t>S/IMP 323203 (Vinil)</t>
  </si>
  <si>
    <t>S/imp 341624</t>
  </si>
  <si>
    <t>CORREIO Nº 04 (SLIM)</t>
  </si>
  <si>
    <t>S/imp 342404</t>
  </si>
  <si>
    <t>Branca Conjugada G 30x30x7</t>
  </si>
  <si>
    <t>PARDA CONJUGADA GG</t>
  </si>
  <si>
    <t>CORREIO Nº 04 S/IMP</t>
  </si>
  <si>
    <t>S/imp 352822 (tipo nº04)</t>
  </si>
  <si>
    <t>Farmarin</t>
  </si>
  <si>
    <t>S/IMP 383203</t>
  </si>
  <si>
    <t>S/IMP 402807 (Tela)</t>
  </si>
  <si>
    <t>S/imp 403030 (30A, 22A e 15A)</t>
  </si>
  <si>
    <t>S/IMP 403030 Triplex</t>
  </si>
  <si>
    <t>CAIXA ORGANIZADORA C/ TAMPA</t>
  </si>
  <si>
    <t>S/imp 503627 (tipo nº05)</t>
  </si>
  <si>
    <t>Envelope de Segurança</t>
  </si>
  <si>
    <t>Demais Produtos</t>
  </si>
  <si>
    <t>Da Categoria</t>
  </si>
  <si>
    <t>Saco Liso PP (Sem Cola)</t>
  </si>
  <si>
    <t>Envelope Danfe Nf-e</t>
  </si>
  <si>
    <t>Multiplos de 50 pçs</t>
  </si>
  <si>
    <t>TOTAL</t>
  </si>
  <si>
    <t xml:space="preserve">Considerada     </t>
  </si>
  <si>
    <t>QUANTIDADE UNIDADES</t>
  </si>
  <si>
    <t>Largura</t>
  </si>
  <si>
    <t>Plástico Bolha 120cm</t>
  </si>
  <si>
    <t>Plástico Bolha 60cm</t>
  </si>
  <si>
    <t>Plástico Bolha 40cm</t>
  </si>
  <si>
    <t>MEDIDAS</t>
  </si>
  <si>
    <t>TR</t>
  </si>
  <si>
    <t>MR</t>
  </si>
  <si>
    <t>AV</t>
  </si>
  <si>
    <t>CF</t>
  </si>
  <si>
    <t>Fita Adesiva Transparente</t>
  </si>
  <si>
    <t>Fita Adesiva Marrom</t>
  </si>
  <si>
    <t>Fita Antiviolação - Branco/Vermelha</t>
  </si>
  <si>
    <t>Fita Antiviolação - Transp/Preta</t>
  </si>
  <si>
    <t>Fita Cuidado Frágil - Branco/Vermelha</t>
  </si>
  <si>
    <t>Fita Cuidado Frágil - Transp/Preta</t>
  </si>
  <si>
    <t>Fita Oferta Especial-Amarelo/Vermelho</t>
  </si>
  <si>
    <t xml:space="preserve">Fita Leve3 Pague2 - Amarelo/Vermelho </t>
  </si>
  <si>
    <t>FITA ZEBRADA LACRE</t>
  </si>
  <si>
    <t>APLICADOR (P) DE FITA</t>
  </si>
  <si>
    <t>APLICADOR (G) DE FITA</t>
  </si>
  <si>
    <t xml:space="preserve"> 3 Aplicadores por</t>
  </si>
  <si>
    <t>G</t>
  </si>
  <si>
    <t>FITA GOMADA</t>
  </si>
  <si>
    <t>80mm</t>
  </si>
  <si>
    <t>APLICADOR DE FITA GOMADA (Canoinha)</t>
  </si>
  <si>
    <t>p</t>
  </si>
  <si>
    <t>REFERENCIA</t>
  </si>
  <si>
    <t>Quant</t>
  </si>
  <si>
    <t>Emb/Rolo</t>
  </si>
  <si>
    <t>Preço Emb/Rolo</t>
  </si>
  <si>
    <t>Total de Etiquetas</t>
  </si>
  <si>
    <t>TIPO</t>
  </si>
  <si>
    <t>LC</t>
  </si>
  <si>
    <t>FR</t>
  </si>
  <si>
    <t>SI</t>
  </si>
  <si>
    <t>Etiqueta Lacre 5x3</t>
  </si>
  <si>
    <t>Etiqueta Lacre 10x3</t>
  </si>
  <si>
    <t>Etiqueta Fragil</t>
  </si>
  <si>
    <t>Etiqueta Bolinha</t>
  </si>
  <si>
    <t>MEDIDA (CM)</t>
  </si>
  <si>
    <t>AZUL</t>
  </si>
  <si>
    <t>PRETA</t>
  </si>
  <si>
    <t>AMARELA</t>
  </si>
  <si>
    <t>VERMELHA</t>
  </si>
  <si>
    <t>VERDE</t>
  </si>
  <si>
    <t>PINK</t>
  </si>
  <si>
    <t>Papel Pardo Reciclado 40</t>
  </si>
  <si>
    <t>Papel Pardo Reciclado 60</t>
  </si>
  <si>
    <t>Papel Pardo Reciclado 80</t>
  </si>
  <si>
    <t>Papel Pardo Kraft</t>
  </si>
  <si>
    <t>Preço unit</t>
  </si>
  <si>
    <t xml:space="preserve"> </t>
  </si>
  <si>
    <t>Lacres</t>
  </si>
  <si>
    <t>Etiqueta Frágil</t>
  </si>
  <si>
    <t>V+B D01</t>
  </si>
  <si>
    <t>A+P D01</t>
  </si>
  <si>
    <t>V+B D02</t>
  </si>
  <si>
    <t>A+P D03</t>
  </si>
  <si>
    <t>A+P D04</t>
  </si>
  <si>
    <t>Etiqueta Fragil AP</t>
  </si>
  <si>
    <t>V+B D06</t>
  </si>
  <si>
    <t>V+P D05</t>
  </si>
  <si>
    <t>Etiqueta Lacre 10x5</t>
  </si>
  <si>
    <t>A+V D11</t>
  </si>
  <si>
    <t>A+V D13</t>
  </si>
  <si>
    <t>A+V D12</t>
  </si>
  <si>
    <t>1cm</t>
  </si>
  <si>
    <t>A+P D02</t>
  </si>
  <si>
    <t>Isopor em cubos 250 litros</t>
  </si>
  <si>
    <t>Isopor em cubos 60 litros</t>
  </si>
  <si>
    <t>Estilete</t>
  </si>
  <si>
    <t>Estilete + 10 lâminas</t>
  </si>
  <si>
    <t>Embalagem com 60 litros (Branco)</t>
  </si>
  <si>
    <t>Saco com 250 litros (Branco)</t>
  </si>
  <si>
    <t>Aço inoxidável</t>
  </si>
  <si>
    <t>Metal e Plástico (Cores sortidas)</t>
  </si>
  <si>
    <t>Pincel atômico c/ 01 pç</t>
  </si>
  <si>
    <t xml:space="preserve">Lâmina G (p/ Estilete cx c/ 10pçs) </t>
  </si>
  <si>
    <t>Cola Vegetal</t>
  </si>
  <si>
    <t>Filme Stretch Manual</t>
  </si>
  <si>
    <t>Bobina</t>
  </si>
  <si>
    <t>Rolo</t>
  </si>
  <si>
    <t>Frasco com 1kg</t>
  </si>
  <si>
    <t>Régua Aço inox 60 cm</t>
  </si>
  <si>
    <t>Régua Aço inox 100 cm</t>
  </si>
  <si>
    <t>Sulfite A4 Report c/ 500 folhas</t>
  </si>
  <si>
    <t>11-3227-6515</t>
  </si>
  <si>
    <t>Nossa tabela agora está muito mais intuitiva, mais fácil e com recursos para você montar seu pedido.</t>
  </si>
  <si>
    <t>Pode ocorrer de seu Antivirus impedir a edição, devido a Macros existentes, você pode indicar nosso site e o arquivo como seguro.</t>
  </si>
  <si>
    <t>Qualquer dúvida entre em contato no número</t>
  </si>
  <si>
    <t>Qualquer coisa ligue-nos e esclarecemos sobre a segurança de Nossa tabela.</t>
  </si>
  <si>
    <t>Preencha alguns dados basicos de cadastro (Opcional)</t>
  </si>
  <si>
    <t>No final - salve a planilha e envia-nos</t>
  </si>
  <si>
    <t>CAIXAS DE PAPELÃO</t>
  </si>
  <si>
    <t>ITENS ESCOLHIDOS</t>
  </si>
  <si>
    <t>SUBTOTAL</t>
  </si>
  <si>
    <t>FITAS ADESIVAS</t>
  </si>
  <si>
    <t>ETIQUETAS ADESIVAS</t>
  </si>
  <si>
    <t>ENVELOPES</t>
  </si>
  <si>
    <t>PLASTICO BOLHA</t>
  </si>
  <si>
    <t>PAPEL PARDO E PAPELÃO ONDULADO</t>
  </si>
  <si>
    <t>ACESSÓRIOS</t>
  </si>
  <si>
    <t>CAIXA PARA MUDANÇA</t>
  </si>
  <si>
    <t>USE ESSA ÁREA PARA SUAS ANOTAÇÕES RELEVANTES - OU ATÉ COLAR PRINTS DE CADASTRO</t>
  </si>
  <si>
    <t>Fita Marrom</t>
  </si>
  <si>
    <t>Fita Transparente</t>
  </si>
  <si>
    <t>Anti-Violação</t>
  </si>
  <si>
    <t>Cuidado Frágil</t>
  </si>
  <si>
    <t>Rogerio</t>
  </si>
  <si>
    <t>Cesar</t>
  </si>
  <si>
    <t>CONTATO</t>
  </si>
  <si>
    <t>Temos agora preços melhores para quantidades maiores.</t>
  </si>
  <si>
    <t>Na barra de "Modo de Exibição protegido" - Aparecendo, prossiga, nossa tabela é segura, sinta a vontade para editar.</t>
  </si>
  <si>
    <t>Atenção as barras acima do Office - "Aviso de segurança"</t>
  </si>
  <si>
    <t>Para usufluir da tabela, é necessário habilitar as macros clicando em "Habilitar Conteúdo" caso esteja solicitando acima.</t>
  </si>
  <si>
    <t>Caixa p/ 24 copos c/ divisória</t>
  </si>
  <si>
    <t>Resma</t>
  </si>
  <si>
    <t>unidade</t>
  </si>
  <si>
    <t xml:space="preserve">EM BREVE!    </t>
  </si>
  <si>
    <t>cesar.cxs@gmail.com</t>
  </si>
  <si>
    <t>rogerio@multicaixas.com</t>
  </si>
  <si>
    <t>Fixo</t>
  </si>
  <si>
    <t>11 - 3227-6515</t>
  </si>
  <si>
    <t>11 - 98500-8910</t>
  </si>
  <si>
    <t>11 - 99135-8071</t>
  </si>
  <si>
    <t>Rogerio:</t>
  </si>
  <si>
    <t>Cesar:</t>
  </si>
  <si>
    <t>Endereço:</t>
  </si>
  <si>
    <t>Rua Alvarenga Peixoto, 449 - Vila Anastácio</t>
  </si>
  <si>
    <t>São Paulo, SP - CEP 05095-010</t>
  </si>
  <si>
    <t>Fale com nosso pessoal, podemos esclarecer e ajudar no que precisa.</t>
  </si>
  <si>
    <t>S/IMP 402807 (Maleta)</t>
  </si>
  <si>
    <t>Plástico Bolha 30cm</t>
  </si>
  <si>
    <t>Saco Kraft P 90g/m²</t>
  </si>
  <si>
    <t>P = 18 x 08 x 25 (Kraft)</t>
  </si>
  <si>
    <t>M - 26 x 12 x 36 (Kraft)</t>
  </si>
  <si>
    <t>p/100</t>
  </si>
  <si>
    <t>p/250</t>
  </si>
  <si>
    <t>p/500</t>
  </si>
  <si>
    <t>p/1000</t>
  </si>
  <si>
    <t>Cooper Fibra</t>
  </si>
  <si>
    <t>OVO</t>
  </si>
  <si>
    <t>S/IMP 604040 (Caixa G NOVA)</t>
  </si>
  <si>
    <t>S/imp 605050 GG Nova</t>
  </si>
  <si>
    <t>S/IMP 060636 (CANUDO)</t>
  </si>
  <si>
    <t>S/IMP 121259 (Amortecedor)</t>
  </si>
  <si>
    <t>ESTADO</t>
  </si>
  <si>
    <t>FORMATO</t>
  </si>
  <si>
    <t>ONDA</t>
  </si>
  <si>
    <t>Data de Atualização</t>
  </si>
  <si>
    <t>Volume</t>
  </si>
  <si>
    <t>Gramatura</t>
  </si>
  <si>
    <t>vol-comparativo</t>
  </si>
  <si>
    <t>Fitilho de polipropileno (PP)</t>
  </si>
  <si>
    <t>Individual (Preto/Azul)</t>
  </si>
  <si>
    <t>Quant PAC</t>
  </si>
  <si>
    <t>Preço unitário para...</t>
  </si>
  <si>
    <t>FINART A</t>
  </si>
  <si>
    <t>Saco Kraft M 90g/m²</t>
  </si>
  <si>
    <t>Papelão Ondulado 1,20 x 20m</t>
  </si>
  <si>
    <t>Papelão Ondulado 1,20 x 50m</t>
  </si>
  <si>
    <t>Papelão Ondulado 0,60 x 20m</t>
  </si>
  <si>
    <t>Papelão Ondulado 0,60 x 50m</t>
  </si>
  <si>
    <t>Papelão Ondulado 1,20 x 30m</t>
  </si>
  <si>
    <t>60cm</t>
  </si>
  <si>
    <t xml:space="preserve">          GERAL          </t>
  </si>
  <si>
    <t xml:space="preserve">     GERAL     </t>
  </si>
  <si>
    <t>Pepsico Verde (400022544)</t>
  </si>
  <si>
    <t>Foto</t>
  </si>
  <si>
    <t>FOTO</t>
  </si>
  <si>
    <t>S/imp 302515</t>
  </si>
  <si>
    <t>S/imp 603008</t>
  </si>
  <si>
    <t>Caixa p/ 18 Xicaras 10x10x08 c/ divisoria</t>
  </si>
  <si>
    <t>S/Imp 120808 - Cartucho</t>
  </si>
  <si>
    <t>Caixa p/ 12 Taças 40x30x30 D c/ divisoria</t>
  </si>
  <si>
    <t>S/imp 433503</t>
  </si>
  <si>
    <t>Divisoria p/ 24 copos</t>
  </si>
  <si>
    <t>*</t>
  </si>
  <si>
    <t>Divisoria p/12 taças</t>
  </si>
  <si>
    <t>Colgate 32x29x33</t>
  </si>
  <si>
    <t>S/IMP 503530 D</t>
  </si>
  <si>
    <t>Forplas 583939</t>
  </si>
  <si>
    <t>Jaguar</t>
  </si>
  <si>
    <t>Caixa p/ 12 Canecas até 325ml c/ divisória</t>
  </si>
  <si>
    <t>Divisória p/ Caixa 12 Canecas até 325ml</t>
  </si>
  <si>
    <t>S/imp 382810</t>
  </si>
  <si>
    <t>NIT</t>
  </si>
  <si>
    <t>SCI Colombia</t>
  </si>
  <si>
    <t>S/IMP 201205</t>
  </si>
  <si>
    <t>Colgate 25x14x10</t>
  </si>
  <si>
    <t>S/IMP 401504 (TECLADO G)</t>
  </si>
  <si>
    <t>SACOLA DE KRAFT</t>
  </si>
  <si>
    <t>Sacola P1</t>
  </si>
  <si>
    <t>Sacola P2</t>
  </si>
  <si>
    <t>Sacola P</t>
  </si>
  <si>
    <t>Sacola M</t>
  </si>
  <si>
    <t>Sacola G1</t>
  </si>
  <si>
    <t>Sacola G</t>
  </si>
  <si>
    <t>pac</t>
  </si>
  <si>
    <r>
      <t xml:space="preserve">    QUANTIDADES MÚLTIPLAS DE </t>
    </r>
    <r>
      <rPr>
        <b/>
        <i/>
        <sz val="14"/>
        <color theme="1"/>
        <rFont val="Calibri"/>
        <family val="2"/>
        <scheme val="minor"/>
      </rPr>
      <t>25</t>
    </r>
    <r>
      <rPr>
        <b/>
        <i/>
        <sz val="10"/>
        <color theme="1"/>
        <rFont val="Calibri"/>
        <family val="2"/>
        <scheme val="minor"/>
      </rPr>
      <t xml:space="preserve"> UNID</t>
    </r>
  </si>
  <si>
    <r>
      <t xml:space="preserve">    QUANTIDADES MÚLTIPLAS DE </t>
    </r>
    <r>
      <rPr>
        <b/>
        <i/>
        <sz val="14"/>
        <color theme="1"/>
        <rFont val="Calibri"/>
        <family val="2"/>
        <scheme val="minor"/>
      </rPr>
      <t>10</t>
    </r>
    <r>
      <rPr>
        <b/>
        <i/>
        <sz val="9"/>
        <color theme="1"/>
        <rFont val="Calibri"/>
        <family val="2"/>
        <scheme val="minor"/>
      </rPr>
      <t xml:space="preserve"> UNID</t>
    </r>
  </si>
  <si>
    <t>Sacola P3</t>
  </si>
  <si>
    <t>Sacola G2</t>
  </si>
  <si>
    <t>Sacola G3</t>
  </si>
  <si>
    <t>Caixas para mudança</t>
  </si>
  <si>
    <t>https://www.multicaixas.com/mudanca/</t>
  </si>
  <si>
    <t>S/IMP 201207</t>
  </si>
  <si>
    <t>Caixa p/ 09 Garrafas Reforçadas</t>
  </si>
  <si>
    <t>Chemyunion 292939</t>
  </si>
  <si>
    <t>EW 361734 (CB 34006 - 34007)</t>
  </si>
  <si>
    <t>Pepsico Preta (400022870)</t>
  </si>
  <si>
    <t>Igaratiba G</t>
  </si>
  <si>
    <t>Bericap Vermelha</t>
  </si>
  <si>
    <t>Bericap Azul</t>
  </si>
  <si>
    <t>FK Grupo 66x44x68</t>
  </si>
  <si>
    <t>Polyfin</t>
  </si>
  <si>
    <t>Alpina 714834</t>
  </si>
  <si>
    <t>12 x 09</t>
  </si>
  <si>
    <t>12 x 10</t>
  </si>
  <si>
    <t>15 x 13</t>
  </si>
  <si>
    <t>23 x 18</t>
  </si>
  <si>
    <t>12 x 18</t>
  </si>
  <si>
    <t>15 x 19</t>
  </si>
  <si>
    <t>15 x 24</t>
  </si>
  <si>
    <t>19 x 25</t>
  </si>
  <si>
    <t>20 x 20</t>
  </si>
  <si>
    <t>20 x 30</t>
  </si>
  <si>
    <t>24 x 28</t>
  </si>
  <si>
    <t>26 x 36</t>
  </si>
  <si>
    <t>32 x 40</t>
  </si>
  <si>
    <t>40 x 50</t>
  </si>
  <si>
    <t>40 x 60</t>
  </si>
  <si>
    <t>50 x 60</t>
  </si>
  <si>
    <t>Medida</t>
  </si>
  <si>
    <t>ENVELOPE BRANCO</t>
  </si>
  <si>
    <t>Preço Produto Branco</t>
  </si>
  <si>
    <t>Subtotal</t>
  </si>
  <si>
    <t>Preço Produto Reciclado</t>
  </si>
  <si>
    <t>DIGITE A QUANT</t>
  </si>
  <si>
    <t>ENV RECICLADO</t>
  </si>
  <si>
    <t>15 x 20</t>
  </si>
  <si>
    <t>70 x 50</t>
  </si>
  <si>
    <t>NOVIDADE!!</t>
  </si>
  <si>
    <t>Plástico Bolha 43cm</t>
  </si>
  <si>
    <t>09 x 11</t>
  </si>
  <si>
    <t>S/IMP 111106 Nº 5 (DAN)</t>
  </si>
  <si>
    <t>S/IMP 111124</t>
  </si>
  <si>
    <t>Salon line 548</t>
  </si>
  <si>
    <t>Salon Line 534</t>
  </si>
  <si>
    <t>Salon Line 382</t>
  </si>
  <si>
    <t>S/IMP 180738 (OI) AT</t>
  </si>
  <si>
    <t>CORREIO Nº 01 F S/IMP</t>
  </si>
  <si>
    <t>Salon Line 516</t>
  </si>
  <si>
    <t>Salon line 317</t>
  </si>
  <si>
    <t>S/IMP 202014 (Lote c/ ou s/ Divisórias)</t>
  </si>
  <si>
    <t>Salon Line 523</t>
  </si>
  <si>
    <t>COLGATE ENXAGUANTE</t>
  </si>
  <si>
    <t>Salon line 525</t>
  </si>
  <si>
    <t>Salon Line 296</t>
  </si>
  <si>
    <t>Dove 252018</t>
  </si>
  <si>
    <t>Salon Line 553</t>
  </si>
  <si>
    <t>S/imp 261605 (C-11_b)</t>
  </si>
  <si>
    <t>Seda 261718</t>
  </si>
  <si>
    <t>Mavalerio 262214</t>
  </si>
  <si>
    <t>Sadia Steak de Frango</t>
  </si>
  <si>
    <t>Dove Shampoo</t>
  </si>
  <si>
    <t>Salon Line 538</t>
  </si>
  <si>
    <t>CORREIO Nº 02 F S/IMP</t>
  </si>
  <si>
    <t>Divisoria p/ 09 garrafas</t>
  </si>
  <si>
    <t>CORREIO Nº 03 F S/IMP</t>
  </si>
  <si>
    <t>Bonk Drink 342024</t>
  </si>
  <si>
    <t>CORREIO Nº 04 F S/IMP</t>
  </si>
  <si>
    <t>Toalhas Umedecidas (TU 03)</t>
  </si>
  <si>
    <t>Solandes 362217</t>
  </si>
  <si>
    <t>EW CB5004-5021BB</t>
  </si>
  <si>
    <t>Colgate 382421</t>
  </si>
  <si>
    <t>Sina 38x28x24</t>
  </si>
  <si>
    <t>Kit Kat 383035 (Super Ref)</t>
  </si>
  <si>
    <t>Centenario 403725</t>
  </si>
  <si>
    <t>Colgate 41x24x20 (PS0025621)</t>
  </si>
  <si>
    <t>CUKIN 80 CREME</t>
  </si>
  <si>
    <t>Black Skull 19S</t>
  </si>
  <si>
    <t>S/imp 413035 U</t>
  </si>
  <si>
    <t>S/Imp 423528 (Brasilgrafica)</t>
  </si>
  <si>
    <t>S/Imp 433739 (Lote)</t>
  </si>
  <si>
    <t>S/IMP 44x15x34 T</t>
  </si>
  <si>
    <t>EW 453215 (PS3-200)</t>
  </si>
  <si>
    <t>Spel E-02</t>
  </si>
  <si>
    <t>Bauducco 483248</t>
  </si>
  <si>
    <t>Silgan 483341</t>
  </si>
  <si>
    <t>Brasilgrafica 493737</t>
  </si>
  <si>
    <t>Salbego 53x19x34</t>
  </si>
  <si>
    <t>Amigo do Bem 018546</t>
  </si>
  <si>
    <t>Marcon 550 (554855)</t>
  </si>
  <si>
    <t>Plaxmetal 118</t>
  </si>
  <si>
    <t>Bauducco Panetone G</t>
  </si>
  <si>
    <t>S/IMP 583929 T (Aptar)</t>
  </si>
  <si>
    <t>Metalma</t>
  </si>
  <si>
    <t>S/IMP 594950 (PRINTEC)</t>
  </si>
  <si>
    <t>Divisoria p/18 xicaras</t>
  </si>
  <si>
    <t>Poly-Vac M 604045</t>
  </si>
  <si>
    <t>Juquitiba 60x41x53</t>
  </si>
  <si>
    <t>FK Grupo 63x36x60</t>
  </si>
  <si>
    <t>Plaxmetal 279</t>
  </si>
  <si>
    <t>Plaxmetal 281</t>
  </si>
  <si>
    <t>Chapa 64 x 43cm Usada</t>
  </si>
  <si>
    <t>CH</t>
  </si>
  <si>
    <t>Plaxmetal 101</t>
  </si>
  <si>
    <t>Plaxmetal 035</t>
  </si>
  <si>
    <t>Plaxmetal 100</t>
  </si>
  <si>
    <t>Fio Cardado Coamo</t>
  </si>
  <si>
    <t>Marcon 507 (654854)</t>
  </si>
  <si>
    <t>Bionatus 69X43X40</t>
  </si>
  <si>
    <t>Chapa 71 x 47cm Usada</t>
  </si>
  <si>
    <t>Norfil M 825433</t>
  </si>
  <si>
    <t>Régua Alumino 30 cm</t>
  </si>
  <si>
    <t>Salon Line 515</t>
  </si>
  <si>
    <t>Dove 211620 (68371988)</t>
  </si>
  <si>
    <t>S/Imp 222222 (lote)</t>
  </si>
  <si>
    <t>Salon Line 375</t>
  </si>
  <si>
    <t>Salon Line 307</t>
  </si>
  <si>
    <t>Salon Line 432</t>
  </si>
  <si>
    <t>Salon Line 276</t>
  </si>
  <si>
    <t>SALON LINE 350</t>
  </si>
  <si>
    <t>Salon Line 95E</t>
  </si>
  <si>
    <t>Salon Line 494</t>
  </si>
  <si>
    <t>Herbissimo Tabu (3009)</t>
  </si>
  <si>
    <t>Dana Cosmeticos (63-00123)</t>
  </si>
  <si>
    <t>CORREIO Nº 04 (A) F S/IMP</t>
  </si>
  <si>
    <t>S/imp 39x30x27 (Produto congelado)</t>
  </si>
  <si>
    <t>S/imp 41x32x30 (Produto congelado)</t>
  </si>
  <si>
    <t>Marcon 340 (484645)</t>
  </si>
  <si>
    <t>S/imp 573856 (Cuidado Fragil)</t>
  </si>
  <si>
    <t>S/IMP 573946 (Frascomar MVG-A)</t>
  </si>
  <si>
    <t>Flexform 65x64x87</t>
  </si>
  <si>
    <t>Flexform 656599</t>
  </si>
  <si>
    <t>Flexform 70x70x100</t>
  </si>
  <si>
    <t>Chapa 80 x 54 cm Usada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</si>
</sst>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5">
    <numFmt numFmtId="164" formatCode="&quot;R$&quot;#,##0.00_);[Red]\(&quot;R$&quot;#,##0.00\)"/>
    <numFmt numFmtId="165" formatCode="00"/>
    <numFmt numFmtId="166" formatCode="&quot;R$&quot;\ #,##0.00"/>
    <numFmt numFmtId="167" formatCode="General&quot;pç&quot;"/>
    <numFmt numFmtId="168" formatCode="0&quot; Produtos Selecionados&quot;"/>
    <numFmt numFmtId="169" formatCode="0&quot;m&quot;"/>
    <numFmt numFmtId="170" formatCode="General&quot;cm&quot;"/>
    <numFmt numFmtId="171" formatCode="General&quot;mm&quot;"/>
    <numFmt numFmtId="172" formatCode="General&quot;m&quot;"/>
    <numFmt numFmtId="173" formatCode="&quot;Embalagem com&quot;\ 0&quot;pç&quot;"/>
    <numFmt numFmtId="174" formatCode="&quot;Rolo com&quot;\ 0&quot;pç&quot;"/>
    <numFmt numFmtId="175" formatCode="0&quot; etiquetas&quot;"/>
    <numFmt numFmtId="176" formatCode="0.0"/>
    <numFmt numFmtId="177" formatCode="&quot;R$ &quot;#,##0.00;&quot;-R$ &quot;#,##0.00"/>
    <numFmt numFmtId="178" formatCode="0&quot; Produto(s) Selecionado(s)&quot;"/>
    <numFmt numFmtId="179" formatCode="General&quot;g&quot;"/>
    <numFmt numFmtId="180" formatCode="General&quot;cm²&quot;"/>
    <numFmt numFmtId="181" formatCode="0&quot;cm³&quot;"/>
    <numFmt numFmtId="182" formatCode="000&quot;g/m²&quot;"/>
    <numFmt numFmtId="183" formatCode="0\g"/>
    <numFmt numFmtId="184" formatCode="0&quot;g/m²&quot;"/>
    <numFmt numFmtId="185" formatCode="0.0&quot;mm&quot;"/>
    <numFmt numFmtId="186" formatCode="0&quot; Sacolas&quot;"/>
    <numFmt numFmtId="187" formatCode="0&quot; pçs&quot;"/>
    <numFmt numFmtId="188" formatCode="&quot;R$&quot;\ #,##0.000"/>
  </numFmts>
  <fonts count="104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Segoe UI Semibold"/>
      <family val="2"/>
    </font>
    <font>
      <sz val="11"/>
      <color theme="1"/>
      <name val="Segoe UI Semibold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Segoe UI Semibold"/>
      <family val="2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Segoe UI Semibold"/>
      <family val="2"/>
    </font>
    <font>
      <b/>
      <sz val="10"/>
      <color theme="0"/>
      <name val="Arial"/>
      <family val="2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rgb="FFFF0000"/>
      <name val="Segoe UI Semibold"/>
      <family val="2"/>
    </font>
    <font>
      <b/>
      <sz val="12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Arial"/>
      <family val="2"/>
    </font>
    <font>
      <sz val="14"/>
      <color theme="0"/>
      <name val="Arial"/>
      <family val="2"/>
    </font>
    <font>
      <b/>
      <sz val="14"/>
      <name val="Calibri "/>
    </font>
    <font>
      <b/>
      <i/>
      <sz val="14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2"/>
      <color theme="0"/>
      <name val="Arial"/>
      <family val="2"/>
    </font>
    <font>
      <sz val="14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2"/>
      <name val="Lucida Sans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6"/>
      <color rgb="FFFF0000"/>
      <name val="Calibri"/>
      <family val="2"/>
    </font>
    <font>
      <u/>
      <sz val="12"/>
      <color theme="10"/>
      <name val="Calibri"/>
      <family val="2"/>
      <scheme val="minor"/>
    </font>
    <font>
      <sz val="14"/>
      <color theme="4"/>
      <name val="Arial"/>
      <family val="2"/>
    </font>
    <font>
      <b/>
      <sz val="9"/>
      <name val="Calibri"/>
      <family val="2"/>
      <scheme val="minor"/>
    </font>
    <font>
      <b/>
      <sz val="9"/>
      <name val="Segoe UI Semibold"/>
      <family val="2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</font>
    <font>
      <b/>
      <sz val="10"/>
      <color theme="0"/>
      <name val="Calibri"/>
      <family val="2"/>
    </font>
    <font>
      <b/>
      <sz val="10"/>
      <color theme="1"/>
      <name val="Calibri"/>
      <family val="2"/>
    </font>
    <font>
      <sz val="8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i/>
      <sz val="11"/>
      <color theme="1"/>
      <name val="Calibri"/>
      <family val="2"/>
    </font>
    <font>
      <sz val="14"/>
      <color theme="1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u/>
      <sz val="16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sz val="11"/>
      <color indexed="8"/>
      <name val="Calibri"/>
      <family val="2"/>
    </font>
    <font>
      <b/>
      <i/>
      <sz val="10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indexed="8"/>
      <name val="Calibri"/>
      <family val="2"/>
    </font>
    <font>
      <sz val="9"/>
      <color indexed="8"/>
      <name val="Calibri"/>
      <family val="2"/>
    </font>
    <font>
      <b/>
      <sz val="9"/>
      <color theme="0" tint="-4.9989318521683403E-2"/>
      <name val="Calibri"/>
      <family val="2"/>
    </font>
    <font>
      <b/>
      <sz val="10"/>
      <color theme="0" tint="-4.9989318521683403E-2"/>
      <name val="Calibri"/>
      <family val="2"/>
      <scheme val="minor"/>
    </font>
    <font>
      <b/>
      <sz val="11"/>
      <color theme="0" tint="-4.9989318521683403E-2"/>
      <name val="Arial"/>
      <family val="2"/>
    </font>
    <font>
      <sz val="11"/>
      <color theme="0" tint="-4.9989318521683403E-2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12"/>
      <color theme="1"/>
      <name val="Segoe UI Semibold"/>
      <family val="2"/>
    </font>
    <font>
      <sz val="11"/>
      <color theme="1" tint="0.34998626667073579"/>
      <name val="Segoe UI Semibold"/>
      <family val="2"/>
    </font>
    <font>
      <sz val="11"/>
      <color theme="1" tint="0.34998626667073579"/>
      <name val="Calibri"/>
      <family val="2"/>
      <scheme val="minor"/>
    </font>
    <font>
      <b/>
      <sz val="10"/>
      <color theme="2" tint="-9.9978637043366805E-2"/>
      <name val="Arial"/>
      <family val="2"/>
    </font>
    <font>
      <b/>
      <u/>
      <sz val="16"/>
      <color theme="1"/>
      <name val="Calibri"/>
      <family val="2"/>
      <scheme val="minor"/>
    </font>
    <font>
      <b/>
      <sz val="12"/>
      <color rgb="FFFF0000"/>
      <name val="Segoe UI Semibold"/>
      <family val="2"/>
    </font>
    <font>
      <b/>
      <sz val="2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  <font>
      <b/>
      <sz val="12"/>
      <color theme="4"/>
      <name val="Calibri"/>
      <family val="2"/>
      <scheme val="minor"/>
    </font>
    <font>
      <u/>
      <sz val="11"/>
      <color theme="4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theme="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7B0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4C2B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EFF9FF"/>
        <bgColor indexed="64"/>
      </patternFill>
    </fill>
    <fill>
      <patternFill patternType="solid">
        <fgColor rgb="FFF0F3FA"/>
        <bgColor indexed="64"/>
      </patternFill>
    </fill>
    <fill>
      <patternFill patternType="solid">
        <fgColor rgb="FF9CB4E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1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 style="hair">
        <color theme="1"/>
      </top>
      <bottom/>
      <diagonal/>
    </border>
    <border>
      <left/>
      <right/>
      <top style="hair">
        <color theme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theme="1"/>
      </left>
      <right style="hair">
        <color indexed="64"/>
      </right>
      <top style="hair">
        <color theme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 style="hair">
        <color indexed="64"/>
      </bottom>
      <diagonal/>
    </border>
    <border>
      <left style="hair">
        <color indexed="64"/>
      </left>
      <right style="hair">
        <color theme="1"/>
      </right>
      <top style="hair">
        <color theme="1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thin">
        <color theme="1"/>
      </top>
      <bottom style="hair">
        <color theme="1"/>
      </bottom>
      <diagonal/>
    </border>
    <border>
      <left/>
      <right style="hair">
        <color indexed="64"/>
      </right>
      <top style="thin">
        <color theme="1"/>
      </top>
      <bottom style="hair">
        <color theme="1"/>
      </bottom>
      <diagonal/>
    </border>
    <border>
      <left style="hair">
        <color indexed="64"/>
      </left>
      <right/>
      <top style="hair">
        <color theme="1"/>
      </top>
      <bottom style="hair">
        <color indexed="64"/>
      </bottom>
      <diagonal/>
    </border>
    <border>
      <left/>
      <right style="hair">
        <color indexed="64"/>
      </right>
      <top style="hair">
        <color theme="1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hair">
        <color theme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theme="1"/>
      </top>
      <bottom/>
      <diagonal/>
    </border>
    <border>
      <left/>
      <right style="hair">
        <color indexed="64"/>
      </right>
      <top style="thin">
        <color theme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hair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 style="thin">
        <color theme="4" tint="0.3999755851924192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theme="4" tint="0.39997558519241921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/>
      <diagonal/>
    </border>
    <border>
      <left style="medium">
        <color theme="4"/>
      </left>
      <right style="hair">
        <color theme="4"/>
      </right>
      <top style="medium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medium">
        <color theme="4"/>
      </top>
      <bottom style="hair">
        <color theme="4"/>
      </bottom>
      <diagonal/>
    </border>
    <border>
      <left style="hair">
        <color theme="4"/>
      </left>
      <right style="medium">
        <color theme="4"/>
      </right>
      <top style="medium">
        <color theme="4"/>
      </top>
      <bottom style="hair">
        <color theme="4"/>
      </bottom>
      <diagonal/>
    </border>
    <border>
      <left style="medium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medium">
        <color theme="4"/>
      </right>
      <top style="hair">
        <color theme="4"/>
      </top>
      <bottom style="hair">
        <color theme="4"/>
      </bottom>
      <diagonal/>
    </border>
    <border>
      <left style="medium">
        <color theme="4"/>
      </left>
      <right style="hair">
        <color theme="4"/>
      </right>
      <top style="hair">
        <color theme="4"/>
      </top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medium">
        <color theme="4"/>
      </bottom>
      <diagonal/>
    </border>
    <border>
      <left style="hair">
        <color theme="4"/>
      </left>
      <right style="medium">
        <color theme="4"/>
      </right>
      <top style="hair">
        <color theme="4"/>
      </top>
      <bottom style="medium">
        <color theme="4"/>
      </bottom>
      <diagonal/>
    </border>
    <border>
      <left style="medium">
        <color theme="4"/>
      </left>
      <right style="hair">
        <color theme="4"/>
      </right>
      <top style="medium">
        <color theme="4"/>
      </top>
      <bottom/>
      <diagonal/>
    </border>
    <border>
      <left style="hair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hair">
        <color theme="4"/>
      </right>
      <top/>
      <bottom style="hair">
        <color theme="4"/>
      </bottom>
      <diagonal/>
    </border>
    <border>
      <left style="hair">
        <color theme="4"/>
      </left>
      <right style="medium">
        <color theme="4"/>
      </right>
      <top/>
      <bottom style="hair">
        <color theme="4"/>
      </bottom>
      <diagonal/>
    </border>
    <border>
      <left style="medium">
        <color theme="4"/>
      </left>
      <right/>
      <top style="medium">
        <color theme="4"/>
      </top>
      <bottom style="hair">
        <color theme="4"/>
      </bottom>
      <diagonal/>
    </border>
    <border>
      <left style="medium">
        <color theme="4"/>
      </left>
      <right/>
      <top style="hair">
        <color theme="4"/>
      </top>
      <bottom style="hair">
        <color theme="4"/>
      </bottom>
      <diagonal/>
    </border>
    <border>
      <left style="medium">
        <color theme="4"/>
      </left>
      <right/>
      <top style="hair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/>
      <bottom/>
      <diagonal/>
    </border>
    <border>
      <left/>
      <right/>
      <top style="thick">
        <color theme="4" tint="-0.249977111117893"/>
      </top>
      <bottom/>
      <diagonal/>
    </border>
    <border>
      <left/>
      <right style="thick">
        <color theme="4" tint="-0.249977111117893"/>
      </right>
      <top style="thin">
        <color theme="4" tint="-0.249977111117893"/>
      </top>
      <bottom/>
      <diagonal/>
    </border>
    <border>
      <left style="medium">
        <color theme="4"/>
      </left>
      <right style="thin">
        <color theme="9" tint="0.79998168889431442"/>
      </right>
      <top style="medium">
        <color theme="4"/>
      </top>
      <bottom/>
      <diagonal/>
    </border>
    <border>
      <left style="hair">
        <color indexed="6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theme="9" tint="0.79998168889431442"/>
      </right>
      <top style="dashed">
        <color indexed="64"/>
      </top>
      <bottom style="dotted">
        <color theme="4" tint="-0.249977111117893"/>
      </bottom>
      <diagonal/>
    </border>
    <border>
      <left style="hair">
        <color indexed="64"/>
      </left>
      <right style="medium">
        <color theme="4"/>
      </right>
      <top style="dashed">
        <color indexed="64"/>
      </top>
      <bottom/>
      <diagonal/>
    </border>
    <border>
      <left style="medium">
        <color theme="4"/>
      </left>
      <right style="thin">
        <color theme="9" tint="0.79998168889431442"/>
      </right>
      <top/>
      <bottom/>
      <diagonal/>
    </border>
    <border>
      <left style="medium">
        <color theme="4"/>
      </left>
      <right style="thin">
        <color theme="9" tint="0.79998168889431442"/>
      </right>
      <top style="dotted">
        <color theme="4" tint="-0.249977111117893"/>
      </top>
      <bottom style="dotted">
        <color theme="4" tint="-0.249977111117893"/>
      </bottom>
      <diagonal/>
    </border>
    <border>
      <left style="hair">
        <color indexed="64"/>
      </left>
      <right style="medium">
        <color theme="4"/>
      </right>
      <top style="dashed">
        <color indexed="64"/>
      </top>
      <bottom style="dashed">
        <color indexed="64"/>
      </bottom>
      <diagonal/>
    </border>
    <border>
      <left style="medium">
        <color theme="4"/>
      </left>
      <right style="thin">
        <color theme="9" tint="0.79998168889431442"/>
      </right>
      <top style="dotted">
        <color theme="4" tint="-0.249977111117893"/>
      </top>
      <bottom/>
      <diagonal/>
    </border>
    <border>
      <left style="hair">
        <color indexed="64"/>
      </left>
      <right style="medium">
        <color theme="4"/>
      </right>
      <top/>
      <bottom/>
      <diagonal/>
    </border>
    <border>
      <left style="medium">
        <color theme="4"/>
      </left>
      <right/>
      <top style="dotted">
        <color theme="4" tint="-0.249977111117893"/>
      </top>
      <bottom/>
      <diagonal/>
    </border>
    <border>
      <left style="medium">
        <color theme="4"/>
      </left>
      <right/>
      <top style="dotted">
        <color theme="4" tint="-0.249977111117893"/>
      </top>
      <bottom style="medium">
        <color theme="4"/>
      </bottom>
      <diagonal/>
    </border>
    <border>
      <left/>
      <right/>
      <top style="hair">
        <color indexed="64"/>
      </top>
      <bottom style="medium">
        <color theme="4"/>
      </bottom>
      <diagonal/>
    </border>
    <border>
      <left style="hair">
        <color indexed="64"/>
      </left>
      <right style="medium">
        <color theme="4"/>
      </right>
      <top style="dashed">
        <color indexed="64"/>
      </top>
      <bottom style="medium">
        <color theme="4"/>
      </bottom>
      <diagonal/>
    </border>
    <border>
      <left/>
      <right style="medium">
        <color theme="4"/>
      </right>
      <top style="dashed">
        <color indexed="64"/>
      </top>
      <bottom style="dashed">
        <color indexed="64"/>
      </bottom>
      <diagonal/>
    </border>
    <border>
      <left/>
      <right style="medium">
        <color theme="4"/>
      </right>
      <top/>
      <bottom/>
      <diagonal/>
    </border>
    <border>
      <left/>
      <right style="medium">
        <color theme="4"/>
      </right>
      <top style="dashed">
        <color indexed="64"/>
      </top>
      <bottom/>
      <diagonal/>
    </border>
    <border>
      <left/>
      <right style="medium">
        <color theme="4"/>
      </right>
      <top style="dashed">
        <color indexed="64"/>
      </top>
      <bottom style="medium">
        <color theme="4"/>
      </bottom>
      <diagonal/>
    </border>
    <border>
      <left/>
      <right/>
      <top style="dashed">
        <color theme="4"/>
      </top>
      <bottom style="dashed">
        <color theme="4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theme="4"/>
      </left>
      <right style="thin">
        <color theme="9" tint="0.79998168889431442"/>
      </right>
      <top/>
      <bottom style="dotted">
        <color theme="4" tint="-0.249977111117893"/>
      </bottom>
      <diagonal/>
    </border>
    <border>
      <left/>
      <right style="medium">
        <color theme="4"/>
      </right>
      <top/>
      <bottom style="dashed">
        <color indexed="64"/>
      </bottom>
      <diagonal/>
    </border>
    <border>
      <left style="medium">
        <color theme="4"/>
      </left>
      <right style="thin">
        <color theme="9" tint="0.79998168889431442"/>
      </right>
      <top style="medium">
        <color theme="4"/>
      </top>
      <bottom style="dashed">
        <color theme="4"/>
      </bottom>
      <diagonal/>
    </border>
    <border>
      <left/>
      <right/>
      <top style="medium">
        <color theme="4"/>
      </top>
      <bottom style="dashed">
        <color theme="4"/>
      </bottom>
      <diagonal/>
    </border>
    <border>
      <left style="hair">
        <color indexed="64"/>
      </left>
      <right style="medium">
        <color theme="4"/>
      </right>
      <top style="medium">
        <color theme="4"/>
      </top>
      <bottom style="dashed">
        <color theme="4"/>
      </bottom>
      <diagonal/>
    </border>
    <border>
      <left style="medium">
        <color theme="4"/>
      </left>
      <right style="dashed">
        <color theme="4"/>
      </right>
      <top style="dashed">
        <color theme="4"/>
      </top>
      <bottom style="dashed">
        <color theme="4"/>
      </bottom>
      <diagonal/>
    </border>
    <border>
      <left/>
      <right style="medium">
        <color theme="4"/>
      </right>
      <top style="dashed">
        <color theme="4"/>
      </top>
      <bottom style="dashed">
        <color theme="4"/>
      </bottom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 style="thin">
        <color theme="4" tint="0.39997558519241921"/>
      </top>
      <bottom/>
      <diagonal/>
    </border>
    <border>
      <left/>
      <right style="medium">
        <color theme="4"/>
      </right>
      <top style="thin">
        <color theme="4" tint="0.39997558519241921"/>
      </top>
      <bottom style="medium">
        <color theme="4"/>
      </bottom>
      <diagonal/>
    </border>
    <border>
      <left style="medium">
        <color theme="4"/>
      </left>
      <right/>
      <top style="dashed">
        <color theme="4"/>
      </top>
      <bottom style="dashed">
        <color theme="4"/>
      </bottom>
      <diagonal/>
    </border>
    <border>
      <left style="thin">
        <color theme="4" tint="0.39997558519241921"/>
      </left>
      <right style="medium">
        <color theme="4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medium">
        <color theme="4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medium">
        <color theme="4"/>
      </bottom>
      <diagonal/>
    </border>
    <border>
      <left style="thin">
        <color theme="4" tint="0.39997558519241921"/>
      </left>
      <right style="medium">
        <color theme="4"/>
      </right>
      <top style="thin">
        <color theme="4" tint="0.39997558519241921"/>
      </top>
      <bottom style="medium">
        <color theme="4"/>
      </bottom>
      <diagonal/>
    </border>
    <border>
      <left/>
      <right/>
      <top/>
      <bottom style="hair">
        <color theme="4"/>
      </bottom>
      <diagonal/>
    </border>
  </borders>
  <cellStyleXfs count="4">
    <xf numFmtId="0" fontId="0" fillId="0" borderId="0"/>
    <xf numFmtId="0" fontId="39" fillId="0" borderId="0" applyNumberFormat="0" applyFill="0" applyBorder="0" applyAlignment="0" applyProtection="0"/>
    <xf numFmtId="0" fontId="77" fillId="0" borderId="0"/>
    <xf numFmtId="0" fontId="100" fillId="0" borderId="0"/>
  </cellStyleXfs>
  <cellXfs count="648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9" fillId="3" borderId="2" xfId="0" applyFont="1" applyFill="1" applyBorder="1"/>
    <xf numFmtId="0" fontId="13" fillId="9" borderId="2" xfId="0" applyFont="1" applyFill="1" applyBorder="1" applyAlignment="1">
      <alignment horizontal="left" vertical="center"/>
    </xf>
    <xf numFmtId="0" fontId="2" fillId="2" borderId="0" xfId="0" applyFont="1" applyFill="1"/>
    <xf numFmtId="0" fontId="15" fillId="2" borderId="0" xfId="0" applyFont="1" applyFill="1"/>
    <xf numFmtId="0" fontId="1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66" fontId="0" fillId="2" borderId="15" xfId="0" applyNumberFormat="1" applyFill="1" applyBorder="1"/>
    <xf numFmtId="166" fontId="0" fillId="2" borderId="16" xfId="0" applyNumberFormat="1" applyFill="1" applyBorder="1"/>
    <xf numFmtId="166" fontId="0" fillId="2" borderId="17" xfId="0" applyNumberFormat="1" applyFill="1" applyBorder="1"/>
    <xf numFmtId="0" fontId="10" fillId="2" borderId="0" xfId="0" applyFont="1" applyFill="1"/>
    <xf numFmtId="165" fontId="17" fillId="12" borderId="1" xfId="0" applyNumberFormat="1" applyFont="1" applyFill="1" applyBorder="1" applyAlignment="1">
      <alignment horizontal="center"/>
    </xf>
    <xf numFmtId="0" fontId="21" fillId="2" borderId="0" xfId="0" applyFont="1" applyFill="1" applyAlignment="1">
      <alignment horizontal="center" vertical="center"/>
    </xf>
    <xf numFmtId="0" fontId="6" fillId="16" borderId="0" xfId="0" applyFont="1" applyFill="1"/>
    <xf numFmtId="0" fontId="20" fillId="16" borderId="0" xfId="0" applyFont="1" applyFill="1"/>
    <xf numFmtId="0" fontId="19" fillId="16" borderId="0" xfId="0" applyFont="1" applyFill="1"/>
    <xf numFmtId="0" fontId="22" fillId="14" borderId="28" xfId="0" applyFont="1" applyFill="1" applyBorder="1"/>
    <xf numFmtId="167" fontId="24" fillId="9" borderId="14" xfId="0" applyNumberFormat="1" applyFont="1" applyFill="1" applyBorder="1" applyAlignment="1">
      <alignment horizontal="left" vertical="center"/>
    </xf>
    <xf numFmtId="0" fontId="25" fillId="2" borderId="0" xfId="0" applyFont="1" applyFill="1" applyAlignment="1">
      <alignment horizontal="center"/>
    </xf>
    <xf numFmtId="0" fontId="27" fillId="16" borderId="0" xfId="0" applyFont="1" applyFill="1"/>
    <xf numFmtId="0" fontId="26" fillId="2" borderId="0" xfId="0" applyFont="1" applyFill="1"/>
    <xf numFmtId="164" fontId="27" fillId="2" borderId="0" xfId="0" applyNumberFormat="1" applyFont="1" applyFill="1"/>
    <xf numFmtId="164" fontId="28" fillId="2" borderId="0" xfId="0" applyNumberFormat="1" applyFont="1" applyFill="1"/>
    <xf numFmtId="166" fontId="0" fillId="2" borderId="2" xfId="0" applyNumberFormat="1" applyFill="1" applyBorder="1"/>
    <xf numFmtId="169" fontId="6" fillId="16" borderId="0" xfId="0" applyNumberFormat="1" applyFont="1" applyFill="1" applyAlignment="1">
      <alignment horizontal="right"/>
    </xf>
    <xf numFmtId="169" fontId="0" fillId="2" borderId="0" xfId="0" applyNumberFormat="1" applyFill="1" applyAlignment="1">
      <alignment horizontal="right"/>
    </xf>
    <xf numFmtId="169" fontId="13" fillId="9" borderId="2" xfId="0" applyNumberFormat="1" applyFont="1" applyFill="1" applyBorder="1" applyAlignment="1">
      <alignment horizontal="right" vertical="center"/>
    </xf>
    <xf numFmtId="170" fontId="6" fillId="16" borderId="0" xfId="0" applyNumberFormat="1" applyFont="1" applyFill="1" applyAlignment="1">
      <alignment horizontal="right"/>
    </xf>
    <xf numFmtId="170" fontId="0" fillId="2" borderId="0" xfId="0" applyNumberFormat="1" applyFill="1" applyAlignment="1">
      <alignment horizontal="right"/>
    </xf>
    <xf numFmtId="170" fontId="13" fillId="9" borderId="2" xfId="0" applyNumberFormat="1" applyFont="1" applyFill="1" applyBorder="1" applyAlignment="1">
      <alignment horizontal="right" vertical="center"/>
    </xf>
    <xf numFmtId="170" fontId="4" fillId="2" borderId="2" xfId="0" applyNumberFormat="1" applyFont="1" applyFill="1" applyBorder="1" applyAlignment="1">
      <alignment horizontal="right"/>
    </xf>
    <xf numFmtId="0" fontId="9" fillId="5" borderId="10" xfId="0" applyFont="1" applyFill="1" applyBorder="1"/>
    <xf numFmtId="0" fontId="9" fillId="5" borderId="11" xfId="0" applyFont="1" applyFill="1" applyBorder="1"/>
    <xf numFmtId="168" fontId="17" fillId="2" borderId="34" xfId="0" applyNumberFormat="1" applyFont="1" applyFill="1" applyBorder="1" applyAlignment="1">
      <alignment vertical="center"/>
    </xf>
    <xf numFmtId="167" fontId="24" fillId="9" borderId="37" xfId="0" applyNumberFormat="1" applyFont="1" applyFill="1" applyBorder="1" applyAlignment="1">
      <alignment horizontal="left" vertical="center"/>
    </xf>
    <xf numFmtId="171" fontId="0" fillId="2" borderId="0" xfId="0" applyNumberFormat="1" applyFill="1"/>
    <xf numFmtId="171" fontId="4" fillId="2" borderId="2" xfId="0" applyNumberFormat="1" applyFont="1" applyFill="1" applyBorder="1" applyAlignment="1">
      <alignment horizontal="center"/>
    </xf>
    <xf numFmtId="172" fontId="0" fillId="2" borderId="0" xfId="0" applyNumberFormat="1" applyFill="1"/>
    <xf numFmtId="172" fontId="4" fillId="2" borderId="7" xfId="0" applyNumberFormat="1" applyFont="1" applyFill="1" applyBorder="1" applyAlignment="1">
      <alignment horizontal="center"/>
    </xf>
    <xf numFmtId="166" fontId="26" fillId="2" borderId="0" xfId="0" applyNumberFormat="1" applyFont="1" applyFill="1"/>
    <xf numFmtId="165" fontId="17" fillId="8" borderId="1" xfId="0" applyNumberFormat="1" applyFont="1" applyFill="1" applyBorder="1" applyAlignment="1">
      <alignment horizontal="center"/>
    </xf>
    <xf numFmtId="166" fontId="0" fillId="2" borderId="0" xfId="0" applyNumberFormat="1" applyFill="1"/>
    <xf numFmtId="165" fontId="29" fillId="2" borderId="1" xfId="0" applyNumberFormat="1" applyFont="1" applyFill="1" applyBorder="1" applyAlignment="1">
      <alignment horizontal="center"/>
    </xf>
    <xf numFmtId="171" fontId="29" fillId="2" borderId="2" xfId="0" applyNumberFormat="1" applyFont="1" applyFill="1" applyBorder="1" applyAlignment="1">
      <alignment horizontal="center"/>
    </xf>
    <xf numFmtId="172" fontId="29" fillId="2" borderId="7" xfId="0" applyNumberFormat="1" applyFont="1" applyFill="1" applyBorder="1" applyAlignment="1">
      <alignment horizontal="center"/>
    </xf>
    <xf numFmtId="165" fontId="17" fillId="19" borderId="1" xfId="0" applyNumberFormat="1" applyFont="1" applyFill="1" applyBorder="1" applyAlignment="1">
      <alignment horizontal="center"/>
    </xf>
    <xf numFmtId="166" fontId="21" fillId="20" borderId="7" xfId="0" applyNumberFormat="1" applyFont="1" applyFill="1" applyBorder="1" applyAlignment="1">
      <alignment vertical="center"/>
    </xf>
    <xf numFmtId="166" fontId="21" fillId="20" borderId="33" xfId="0" applyNumberFormat="1" applyFont="1" applyFill="1" applyBorder="1" applyAlignment="1">
      <alignment vertical="center"/>
    </xf>
    <xf numFmtId="171" fontId="29" fillId="7" borderId="2" xfId="0" applyNumberFormat="1" applyFont="1" applyFill="1" applyBorder="1" applyAlignment="1">
      <alignment horizontal="center"/>
    </xf>
    <xf numFmtId="172" fontId="29" fillId="7" borderId="7" xfId="0" applyNumberFormat="1" applyFont="1" applyFill="1" applyBorder="1" applyAlignment="1">
      <alignment horizontal="center"/>
    </xf>
    <xf numFmtId="171" fontId="17" fillId="8" borderId="2" xfId="0" applyNumberFormat="1" applyFont="1" applyFill="1" applyBorder="1" applyAlignment="1">
      <alignment horizontal="center"/>
    </xf>
    <xf numFmtId="172" fontId="17" fillId="8" borderId="7" xfId="0" applyNumberFormat="1" applyFont="1" applyFill="1" applyBorder="1" applyAlignment="1">
      <alignment horizontal="center"/>
    </xf>
    <xf numFmtId="172" fontId="17" fillId="8" borderId="1" xfId="0" applyNumberFormat="1" applyFont="1" applyFill="1" applyBorder="1" applyAlignment="1">
      <alignment horizontal="center"/>
    </xf>
    <xf numFmtId="172" fontId="29" fillId="7" borderId="1" xfId="0" applyNumberFormat="1" applyFont="1" applyFill="1" applyBorder="1" applyAlignment="1">
      <alignment horizontal="center"/>
    </xf>
    <xf numFmtId="0" fontId="26" fillId="2" borderId="0" xfId="0" applyFont="1" applyFill="1" applyAlignment="1">
      <alignment horizontal="right"/>
    </xf>
    <xf numFmtId="171" fontId="15" fillId="2" borderId="0" xfId="0" applyNumberFormat="1" applyFont="1" applyFill="1"/>
    <xf numFmtId="172" fontId="15" fillId="2" borderId="0" xfId="0" applyNumberFormat="1" applyFont="1" applyFill="1"/>
    <xf numFmtId="0" fontId="21" fillId="2" borderId="0" xfId="0" applyFont="1" applyFill="1"/>
    <xf numFmtId="0" fontId="20" fillId="2" borderId="0" xfId="0" applyFont="1" applyFill="1"/>
    <xf numFmtId="0" fontId="9" fillId="5" borderId="2" xfId="0" applyFont="1" applyFill="1" applyBorder="1"/>
    <xf numFmtId="167" fontId="24" fillId="9" borderId="2" xfId="0" applyNumberFormat="1" applyFont="1" applyFill="1" applyBorder="1" applyAlignment="1">
      <alignment horizontal="left" vertical="center"/>
    </xf>
    <xf numFmtId="169" fontId="4" fillId="2" borderId="2" xfId="0" applyNumberFormat="1" applyFont="1" applyFill="1" applyBorder="1" applyAlignment="1">
      <alignment horizontal="right"/>
    </xf>
    <xf numFmtId="170" fontId="26" fillId="2" borderId="0" xfId="0" applyNumberFormat="1" applyFont="1" applyFill="1"/>
    <xf numFmtId="168" fontId="17" fillId="2" borderId="38" xfId="0" applyNumberFormat="1" applyFont="1" applyFill="1" applyBorder="1" applyAlignment="1">
      <alignment horizontal="center" vertical="center"/>
    </xf>
    <xf numFmtId="0" fontId="41" fillId="3" borderId="0" xfId="0" applyFont="1" applyFill="1"/>
    <xf numFmtId="0" fontId="41" fillId="3" borderId="0" xfId="0" quotePrefix="1" applyFont="1" applyFill="1"/>
    <xf numFmtId="0" fontId="20" fillId="3" borderId="0" xfId="0" applyFont="1" applyFill="1"/>
    <xf numFmtId="0" fontId="42" fillId="3" borderId="0" xfId="1" applyFont="1" applyFill="1"/>
    <xf numFmtId="0" fontId="0" fillId="0" borderId="2" xfId="0" applyBorder="1" applyProtection="1">
      <protection locked="0"/>
    </xf>
    <xf numFmtId="0" fontId="18" fillId="5" borderId="2" xfId="0" applyFont="1" applyFill="1" applyBorder="1" applyAlignment="1">
      <alignment horizontal="center"/>
    </xf>
    <xf numFmtId="164" fontId="2" fillId="2" borderId="0" xfId="0" applyNumberFormat="1" applyFont="1" applyFill="1"/>
    <xf numFmtId="0" fontId="53" fillId="2" borderId="0" xfId="0" applyFont="1" applyFill="1" applyAlignment="1">
      <alignment horizontal="center"/>
    </xf>
    <xf numFmtId="0" fontId="50" fillId="9" borderId="0" xfId="0" applyFont="1" applyFill="1"/>
    <xf numFmtId="0" fontId="51" fillId="9" borderId="0" xfId="0" applyFont="1" applyFill="1"/>
    <xf numFmtId="171" fontId="52" fillId="9" borderId="0" xfId="0" applyNumberFormat="1" applyFont="1" applyFill="1"/>
    <xf numFmtId="172" fontId="51" fillId="9" borderId="0" xfId="0" applyNumberFormat="1" applyFont="1" applyFill="1"/>
    <xf numFmtId="0" fontId="52" fillId="9" borderId="0" xfId="0" applyFont="1" applyFill="1"/>
    <xf numFmtId="0" fontId="6" fillId="8" borderId="26" xfId="0" applyFont="1" applyFill="1" applyBorder="1"/>
    <xf numFmtId="0" fontId="0" fillId="19" borderId="0" xfId="0" applyFill="1"/>
    <xf numFmtId="171" fontId="6" fillId="21" borderId="18" xfId="0" applyNumberFormat="1" applyFont="1" applyFill="1" applyBorder="1" applyAlignment="1">
      <alignment vertical="center"/>
    </xf>
    <xf numFmtId="172" fontId="0" fillId="21" borderId="24" xfId="0" applyNumberFormat="1" applyFill="1" applyBorder="1"/>
    <xf numFmtId="0" fontId="10" fillId="21" borderId="19" xfId="0" applyFont="1" applyFill="1" applyBorder="1"/>
    <xf numFmtId="0" fontId="20" fillId="22" borderId="18" xfId="0" applyFont="1" applyFill="1" applyBorder="1"/>
    <xf numFmtId="0" fontId="15" fillId="22" borderId="19" xfId="0" applyFont="1" applyFill="1" applyBorder="1"/>
    <xf numFmtId="0" fontId="6" fillId="4" borderId="18" xfId="0" applyFont="1" applyFill="1" applyBorder="1"/>
    <xf numFmtId="0" fontId="0" fillId="4" borderId="24" xfId="0" applyFill="1" applyBorder="1"/>
    <xf numFmtId="0" fontId="0" fillId="4" borderId="19" xfId="0" applyFill="1" applyBorder="1"/>
    <xf numFmtId="0" fontId="26" fillId="19" borderId="0" xfId="0" applyFont="1" applyFill="1"/>
    <xf numFmtId="0" fontId="0" fillId="8" borderId="27" xfId="0" applyFill="1" applyBorder="1"/>
    <xf numFmtId="171" fontId="0" fillId="21" borderId="20" xfId="0" applyNumberFormat="1" applyFill="1" applyBorder="1"/>
    <xf numFmtId="172" fontId="0" fillId="21" borderId="0" xfId="0" applyNumberFormat="1" applyFill="1"/>
    <xf numFmtId="0" fontId="10" fillId="21" borderId="21" xfId="0" applyFont="1" applyFill="1" applyBorder="1"/>
    <xf numFmtId="0" fontId="2" fillId="22" borderId="20" xfId="0" applyFont="1" applyFill="1" applyBorder="1"/>
    <xf numFmtId="0" fontId="15" fillId="22" borderId="21" xfId="0" applyFont="1" applyFill="1" applyBorder="1"/>
    <xf numFmtId="0" fontId="0" fillId="4" borderId="20" xfId="0" applyFill="1" applyBorder="1"/>
    <xf numFmtId="0" fontId="0" fillId="4" borderId="0" xfId="0" applyFill="1"/>
    <xf numFmtId="0" fontId="0" fillId="4" borderId="21" xfId="0" applyFill="1" applyBorder="1"/>
    <xf numFmtId="0" fontId="9" fillId="5" borderId="9" xfId="0" applyFont="1" applyFill="1" applyBorder="1"/>
    <xf numFmtId="171" fontId="13" fillId="9" borderId="2" xfId="0" applyNumberFormat="1" applyFont="1" applyFill="1" applyBorder="1" applyAlignment="1">
      <alignment horizontal="center" vertical="center"/>
    </xf>
    <xf numFmtId="172" fontId="13" fillId="9" borderId="2" xfId="0" applyNumberFormat="1" applyFont="1" applyFill="1" applyBorder="1" applyAlignment="1">
      <alignment horizontal="center" vertical="center"/>
    </xf>
    <xf numFmtId="0" fontId="13" fillId="9" borderId="14" xfId="0" applyFont="1" applyFill="1" applyBorder="1" applyAlignment="1">
      <alignment horizontal="center" vertical="center"/>
    </xf>
    <xf numFmtId="165" fontId="17" fillId="18" borderId="1" xfId="0" applyNumberFormat="1" applyFont="1" applyFill="1" applyBorder="1" applyAlignment="1">
      <alignment horizontal="center"/>
    </xf>
    <xf numFmtId="0" fontId="2" fillId="9" borderId="0" xfId="0" applyFont="1" applyFill="1"/>
    <xf numFmtId="176" fontId="34" fillId="9" borderId="0" xfId="0" applyNumberFormat="1" applyFont="1" applyFill="1" applyAlignment="1">
      <alignment horizontal="right" vertical="center"/>
    </xf>
    <xf numFmtId="0" fontId="2" fillId="9" borderId="0" xfId="0" applyFont="1" applyFill="1" applyAlignment="1">
      <alignment horizontal="center" vertical="center"/>
    </xf>
    <xf numFmtId="176" fontId="40" fillId="9" borderId="0" xfId="0" applyNumberFormat="1" applyFont="1" applyFill="1" applyAlignment="1">
      <alignment horizontal="right" vertical="center"/>
    </xf>
    <xf numFmtId="0" fontId="35" fillId="2" borderId="0" xfId="0" applyFont="1" applyFill="1"/>
    <xf numFmtId="176" fontId="20" fillId="22" borderId="41" xfId="0" applyNumberFormat="1" applyFont="1" applyFill="1" applyBorder="1" applyAlignment="1">
      <alignment vertical="center"/>
    </xf>
    <xf numFmtId="176" fontId="35" fillId="2" borderId="0" xfId="0" applyNumberFormat="1" applyFont="1" applyFill="1" applyAlignment="1">
      <alignment horizontal="right" vertical="center"/>
    </xf>
    <xf numFmtId="176" fontId="20" fillId="3" borderId="41" xfId="0" applyNumberFormat="1" applyFont="1" applyFill="1" applyBorder="1" applyAlignment="1">
      <alignment vertical="center"/>
    </xf>
    <xf numFmtId="0" fontId="35" fillId="23" borderId="0" xfId="0" applyFont="1" applyFill="1"/>
    <xf numFmtId="176" fontId="33" fillId="2" borderId="0" xfId="0" applyNumberFormat="1" applyFont="1" applyFill="1" applyAlignment="1">
      <alignment horizontal="right" vertical="center"/>
    </xf>
    <xf numFmtId="0" fontId="0" fillId="23" borderId="0" xfId="0" applyFill="1"/>
    <xf numFmtId="0" fontId="0" fillId="2" borderId="0" xfId="0" applyFill="1" applyAlignment="1">
      <alignment horizontal="center" vertical="center"/>
    </xf>
    <xf numFmtId="164" fontId="6" fillId="5" borderId="1" xfId="0" applyNumberFormat="1" applyFont="1" applyFill="1" applyBorder="1"/>
    <xf numFmtId="0" fontId="0" fillId="2" borderId="50" xfId="0" applyFill="1" applyBorder="1" applyAlignment="1">
      <alignment horizontal="left"/>
    </xf>
    <xf numFmtId="0" fontId="2" fillId="9" borderId="6" xfId="0" applyFont="1" applyFill="1" applyBorder="1" applyAlignment="1">
      <alignment horizontal="left"/>
    </xf>
    <xf numFmtId="0" fontId="2" fillId="9" borderId="3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23" borderId="0" xfId="0" applyFill="1" applyAlignment="1">
      <alignment horizontal="left"/>
    </xf>
    <xf numFmtId="0" fontId="0" fillId="2" borderId="50" xfId="0" applyFill="1" applyBorder="1"/>
    <xf numFmtId="164" fontId="4" fillId="2" borderId="48" xfId="0" applyNumberFormat="1" applyFont="1" applyFill="1" applyBorder="1"/>
    <xf numFmtId="0" fontId="0" fillId="2" borderId="0" xfId="0" applyFill="1" applyAlignment="1">
      <alignment vertical="center"/>
    </xf>
    <xf numFmtId="164" fontId="4" fillId="2" borderId="55" xfId="0" applyNumberFormat="1" applyFont="1" applyFill="1" applyBorder="1"/>
    <xf numFmtId="0" fontId="32" fillId="2" borderId="0" xfId="0" applyFont="1" applyFill="1" applyAlignment="1">
      <alignment horizontal="center" vertical="center"/>
    </xf>
    <xf numFmtId="0" fontId="0" fillId="2" borderId="42" xfId="0" applyFill="1" applyBorder="1"/>
    <xf numFmtId="0" fontId="0" fillId="2" borderId="41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43" xfId="0" applyFill="1" applyBorder="1" applyAlignment="1">
      <alignment horizontal="center" vertical="center"/>
    </xf>
    <xf numFmtId="0" fontId="0" fillId="2" borderId="44" xfId="0" applyFill="1" applyBorder="1" applyAlignment="1">
      <alignment horizontal="center" vertical="center"/>
    </xf>
    <xf numFmtId="0" fontId="0" fillId="2" borderId="45" xfId="0" applyFill="1" applyBorder="1" applyAlignment="1">
      <alignment horizontal="center" vertical="center"/>
    </xf>
    <xf numFmtId="176" fontId="33" fillId="2" borderId="0" xfId="0" applyNumberFormat="1" applyFont="1" applyFill="1" applyAlignment="1">
      <alignment horizontal="center" vertical="center"/>
    </xf>
    <xf numFmtId="176" fontId="38" fillId="2" borderId="0" xfId="0" applyNumberFormat="1" applyFont="1" applyFill="1" applyAlignment="1">
      <alignment horizontal="right" vertical="center"/>
    </xf>
    <xf numFmtId="0" fontId="4" fillId="2" borderId="48" xfId="0" quotePrefix="1" applyFont="1" applyFill="1" applyBorder="1" applyAlignment="1" applyProtection="1">
      <alignment horizontal="center" vertical="center"/>
      <protection locked="0"/>
    </xf>
    <xf numFmtId="0" fontId="4" fillId="2" borderId="55" xfId="0" quotePrefix="1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45" fillId="2" borderId="1" xfId="0" applyFont="1" applyFill="1" applyBorder="1" applyAlignment="1">
      <alignment horizontal="right" vertical="center"/>
    </xf>
    <xf numFmtId="164" fontId="46" fillId="2" borderId="1" xfId="0" applyNumberFormat="1" applyFont="1" applyFill="1" applyBorder="1" applyAlignment="1">
      <alignment horizontal="right" vertical="center"/>
    </xf>
    <xf numFmtId="0" fontId="45" fillId="4" borderId="0" xfId="0" applyFont="1" applyFill="1" applyAlignment="1">
      <alignment horizontal="center" vertical="center"/>
    </xf>
    <xf numFmtId="0" fontId="43" fillId="4" borderId="0" xfId="0" applyFont="1" applyFill="1" applyAlignment="1">
      <alignment horizontal="center" vertical="center"/>
    </xf>
    <xf numFmtId="0" fontId="47" fillId="2" borderId="1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right" vertical="center"/>
    </xf>
    <xf numFmtId="164" fontId="43" fillId="2" borderId="1" xfId="0" applyNumberFormat="1" applyFont="1" applyFill="1" applyBorder="1" applyAlignment="1">
      <alignment horizontal="right" vertical="center"/>
    </xf>
    <xf numFmtId="0" fontId="39" fillId="2" borderId="1" xfId="1" applyFill="1" applyBorder="1" applyAlignment="1" applyProtection="1">
      <alignment horizontal="center" vertical="center"/>
    </xf>
    <xf numFmtId="0" fontId="17" fillId="26" borderId="71" xfId="0" applyFont="1" applyFill="1" applyBorder="1" applyAlignment="1">
      <alignment horizontal="right" vertical="center"/>
    </xf>
    <xf numFmtId="0" fontId="17" fillId="26" borderId="72" xfId="0" applyFont="1" applyFill="1" applyBorder="1" applyAlignment="1">
      <alignment horizontal="right" vertical="center"/>
    </xf>
    <xf numFmtId="0" fontId="17" fillId="4" borderId="0" xfId="0" applyFont="1" applyFill="1" applyAlignment="1" applyProtection="1">
      <alignment horizontal="center" vertical="center"/>
      <protection locked="0"/>
    </xf>
    <xf numFmtId="0" fontId="45" fillId="4" borderId="0" xfId="0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176" fontId="33" fillId="2" borderId="0" xfId="0" applyNumberFormat="1" applyFont="1" applyFill="1" applyAlignment="1" applyProtection="1">
      <alignment horizontal="right" vertical="center"/>
      <protection locked="0"/>
    </xf>
    <xf numFmtId="0" fontId="16" fillId="3" borderId="0" xfId="0" applyFont="1" applyFill="1"/>
    <xf numFmtId="0" fontId="48" fillId="25" borderId="0" xfId="0" applyFont="1" applyFill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6" fillId="3" borderId="20" xfId="0" applyFont="1" applyFill="1" applyBorder="1" applyAlignment="1">
      <alignment horizontal="left"/>
    </xf>
    <xf numFmtId="0" fontId="16" fillId="3" borderId="21" xfId="0" applyFont="1" applyFill="1" applyBorder="1"/>
    <xf numFmtId="0" fontId="16" fillId="3" borderId="20" xfId="0" applyFont="1" applyFill="1" applyBorder="1"/>
    <xf numFmtId="0" fontId="55" fillId="3" borderId="21" xfId="1" applyFont="1" applyFill="1" applyBorder="1"/>
    <xf numFmtId="0" fontId="41" fillId="3" borderId="22" xfId="0" applyFont="1" applyFill="1" applyBorder="1"/>
    <xf numFmtId="0" fontId="41" fillId="3" borderId="23" xfId="0" applyFont="1" applyFill="1" applyBorder="1"/>
    <xf numFmtId="0" fontId="0" fillId="4" borderId="26" xfId="0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0" fontId="0" fillId="4" borderId="28" xfId="0" applyFill="1" applyBorder="1" applyAlignment="1">
      <alignment horizontal="center" vertical="center"/>
    </xf>
    <xf numFmtId="0" fontId="55" fillId="4" borderId="27" xfId="1" applyFont="1" applyFill="1" applyBorder="1"/>
    <xf numFmtId="0" fontId="41" fillId="3" borderId="0" xfId="0" applyFont="1" applyFill="1" applyProtection="1">
      <protection locked="0"/>
    </xf>
    <xf numFmtId="0" fontId="0" fillId="0" borderId="0" xfId="0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0" fontId="16" fillId="3" borderId="18" xfId="0" applyFont="1" applyFill="1" applyBorder="1" applyAlignment="1">
      <alignment horizontal="left"/>
    </xf>
    <xf numFmtId="0" fontId="16" fillId="3" borderId="24" xfId="0" applyFont="1" applyFill="1" applyBorder="1"/>
    <xf numFmtId="0" fontId="41" fillId="3" borderId="19" xfId="0" applyFont="1" applyFill="1" applyBorder="1"/>
    <xf numFmtId="0" fontId="41" fillId="3" borderId="21" xfId="0" applyFont="1" applyFill="1" applyBorder="1"/>
    <xf numFmtId="0" fontId="55" fillId="3" borderId="0" xfId="1" applyFont="1" applyFill="1" applyBorder="1"/>
    <xf numFmtId="0" fontId="16" fillId="3" borderId="22" xfId="0" applyFont="1" applyFill="1" applyBorder="1"/>
    <xf numFmtId="0" fontId="55" fillId="3" borderId="25" xfId="1" applyFont="1" applyFill="1" applyBorder="1"/>
    <xf numFmtId="176" fontId="56" fillId="9" borderId="0" xfId="0" applyNumberFormat="1" applyFont="1" applyFill="1" applyAlignment="1">
      <alignment horizontal="right" vertical="center"/>
    </xf>
    <xf numFmtId="0" fontId="51" fillId="9" borderId="0" xfId="0" applyFont="1" applyFill="1" applyAlignment="1">
      <alignment horizontal="center" vertical="center"/>
    </xf>
    <xf numFmtId="0" fontId="16" fillId="2" borderId="75" xfId="0" applyFont="1" applyFill="1" applyBorder="1" applyAlignment="1">
      <alignment horizontal="center"/>
    </xf>
    <xf numFmtId="0" fontId="26" fillId="4" borderId="0" xfId="0" applyFont="1" applyFill="1" applyAlignment="1">
      <alignment horizontal="center" vertical="center"/>
    </xf>
    <xf numFmtId="0" fontId="16" fillId="2" borderId="37" xfId="0" applyFont="1" applyFill="1" applyBorder="1" applyAlignment="1">
      <alignment horizontal="center"/>
    </xf>
    <xf numFmtId="0" fontId="0" fillId="0" borderId="37" xfId="0" applyBorder="1"/>
    <xf numFmtId="0" fontId="16" fillId="2" borderId="81" xfId="0" applyFont="1" applyFill="1" applyBorder="1" applyAlignment="1">
      <alignment horizontal="center"/>
    </xf>
    <xf numFmtId="0" fontId="0" fillId="0" borderId="36" xfId="0" applyBorder="1"/>
    <xf numFmtId="166" fontId="0" fillId="2" borderId="8" xfId="0" applyNumberFormat="1" applyFill="1" applyBorder="1"/>
    <xf numFmtId="0" fontId="15" fillId="2" borderId="75" xfId="0" applyFont="1" applyFill="1" applyBorder="1"/>
    <xf numFmtId="0" fontId="15" fillId="2" borderId="82" xfId="0" applyFont="1" applyFill="1" applyBorder="1"/>
    <xf numFmtId="172" fontId="48" fillId="8" borderId="28" xfId="0" applyNumberFormat="1" applyFont="1" applyFill="1" applyBorder="1" applyAlignment="1">
      <alignment horizontal="right"/>
    </xf>
    <xf numFmtId="171" fontId="0" fillId="21" borderId="22" xfId="0" applyNumberFormat="1" applyFill="1" applyBorder="1"/>
    <xf numFmtId="0" fontId="10" fillId="21" borderId="23" xfId="0" applyFont="1" applyFill="1" applyBorder="1"/>
    <xf numFmtId="172" fontId="48" fillId="21" borderId="23" xfId="0" applyNumberFormat="1" applyFont="1" applyFill="1" applyBorder="1" applyAlignment="1">
      <alignment horizontal="right"/>
    </xf>
    <xf numFmtId="0" fontId="2" fillId="22" borderId="22" xfId="0" applyFont="1" applyFill="1" applyBorder="1"/>
    <xf numFmtId="0" fontId="49" fillId="22" borderId="23" xfId="0" applyFont="1" applyFill="1" applyBorder="1" applyAlignment="1">
      <alignment horizontal="right"/>
    </xf>
    <xf numFmtId="0" fontId="0" fillId="4" borderId="22" xfId="0" applyFill="1" applyBorder="1"/>
    <xf numFmtId="0" fontId="0" fillId="4" borderId="25" xfId="0" applyFill="1" applyBorder="1"/>
    <xf numFmtId="0" fontId="49" fillId="4" borderId="23" xfId="0" applyFont="1" applyFill="1" applyBorder="1" applyAlignment="1">
      <alignment horizontal="right"/>
    </xf>
    <xf numFmtId="0" fontId="73" fillId="4" borderId="0" xfId="0" applyFont="1" applyFill="1" applyAlignment="1">
      <alignment horizontal="center" vertical="center"/>
    </xf>
    <xf numFmtId="0" fontId="73" fillId="4" borderId="0" xfId="0" applyFont="1" applyFill="1" applyAlignment="1" applyProtection="1">
      <alignment horizontal="center" vertical="center"/>
      <protection locked="0"/>
    </xf>
    <xf numFmtId="0" fontId="73" fillId="0" borderId="0" xfId="0" applyFont="1" applyAlignment="1" applyProtection="1">
      <alignment horizontal="left"/>
      <protection locked="0"/>
    </xf>
    <xf numFmtId="0" fontId="73" fillId="5" borderId="36" xfId="0" applyFont="1" applyFill="1" applyBorder="1" applyAlignment="1">
      <alignment horizontal="right" vertical="center"/>
    </xf>
    <xf numFmtId="164" fontId="41" fillId="5" borderId="36" xfId="0" applyNumberFormat="1" applyFont="1" applyFill="1" applyBorder="1" applyAlignment="1">
      <alignment horizontal="right" vertical="center"/>
    </xf>
    <xf numFmtId="0" fontId="18" fillId="5" borderId="7" xfId="0" applyFont="1" applyFill="1" applyBorder="1"/>
    <xf numFmtId="0" fontId="18" fillId="5" borderId="8" xfId="0" applyFont="1" applyFill="1" applyBorder="1"/>
    <xf numFmtId="0" fontId="74" fillId="5" borderId="0" xfId="1" applyFont="1" applyFill="1" applyAlignment="1" applyProtection="1">
      <alignment horizontal="center" vertical="center"/>
    </xf>
    <xf numFmtId="0" fontId="75" fillId="31" borderId="0" xfId="1" applyFont="1" applyFill="1" applyAlignment="1" applyProtection="1">
      <alignment horizontal="center" vertical="center"/>
    </xf>
    <xf numFmtId="0" fontId="75" fillId="31" borderId="0" xfId="1" applyFont="1" applyFill="1" applyAlignment="1" applyProtection="1">
      <alignment horizontal="center" vertical="center"/>
      <protection locked="0"/>
    </xf>
    <xf numFmtId="0" fontId="7" fillId="2" borderId="0" xfId="0" applyFont="1" applyFill="1" applyAlignment="1">
      <alignment horizontal="center" vertical="center"/>
    </xf>
    <xf numFmtId="0" fontId="67" fillId="2" borderId="0" xfId="0" applyFont="1" applyFill="1"/>
    <xf numFmtId="180" fontId="15" fillId="2" borderId="0" xfId="0" applyNumberFormat="1" applyFont="1" applyFill="1" applyAlignment="1">
      <alignment horizontal="center"/>
    </xf>
    <xf numFmtId="182" fontId="15" fillId="2" borderId="0" xfId="0" applyNumberFormat="1" applyFont="1" applyFill="1" applyAlignment="1">
      <alignment horizontal="center"/>
    </xf>
    <xf numFmtId="171" fontId="15" fillId="2" borderId="0" xfId="0" applyNumberFormat="1" applyFont="1" applyFill="1" applyAlignment="1">
      <alignment horizontal="center"/>
    </xf>
    <xf numFmtId="179" fontId="15" fillId="2" borderId="0" xfId="0" applyNumberFormat="1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22" fontId="0" fillId="8" borderId="1" xfId="0" quotePrefix="1" applyNumberFormat="1" applyFill="1" applyBorder="1" applyAlignment="1">
      <alignment horizontal="center"/>
    </xf>
    <xf numFmtId="182" fontId="69" fillId="2" borderId="0" xfId="0" applyNumberFormat="1" applyFont="1" applyFill="1" applyAlignment="1">
      <alignment horizontal="center"/>
    </xf>
    <xf numFmtId="0" fontId="67" fillId="2" borderId="0" xfId="0" applyFont="1" applyFill="1" applyAlignment="1">
      <alignment horizontal="right" vertical="top"/>
    </xf>
    <xf numFmtId="0" fontId="26" fillId="2" borderId="0" xfId="0" applyFont="1" applyFill="1" applyAlignment="1">
      <alignment horizontal="center"/>
    </xf>
    <xf numFmtId="0" fontId="14" fillId="29" borderId="79" xfId="0" applyFont="1" applyFill="1" applyBorder="1"/>
    <xf numFmtId="0" fontId="63" fillId="29" borderId="46" xfId="0" applyFont="1" applyFill="1" applyBorder="1"/>
    <xf numFmtId="0" fontId="64" fillId="29" borderId="47" xfId="0" applyFont="1" applyFill="1" applyBorder="1"/>
    <xf numFmtId="0" fontId="68" fillId="2" borderId="0" xfId="0" quotePrefix="1" applyFont="1" applyFill="1" applyAlignment="1">
      <alignment horizontal="right"/>
    </xf>
    <xf numFmtId="0" fontId="60" fillId="5" borderId="79" xfId="0" applyFont="1" applyFill="1" applyBorder="1"/>
    <xf numFmtId="0" fontId="21" fillId="5" borderId="83" xfId="0" applyFont="1" applyFill="1" applyBorder="1" applyAlignment="1">
      <alignment horizontal="center" vertical="center"/>
    </xf>
    <xf numFmtId="0" fontId="21" fillId="5" borderId="84" xfId="0" applyFont="1" applyFill="1" applyBorder="1" applyAlignment="1">
      <alignment horizontal="center" vertical="center"/>
    </xf>
    <xf numFmtId="0" fontId="21" fillId="5" borderId="85" xfId="0" applyFont="1" applyFill="1" applyBorder="1" applyAlignment="1">
      <alignment horizontal="center" vertical="center"/>
    </xf>
    <xf numFmtId="0" fontId="21" fillId="5" borderId="0" xfId="0" applyFont="1" applyFill="1" applyAlignment="1">
      <alignment horizontal="center" vertical="center"/>
    </xf>
    <xf numFmtId="0" fontId="61" fillId="28" borderId="6" xfId="0" applyFont="1" applyFill="1" applyBorder="1" applyAlignment="1">
      <alignment horizontal="center" vertical="center"/>
    </xf>
    <xf numFmtId="0" fontId="61" fillId="27" borderId="3" xfId="0" applyFont="1" applyFill="1" applyBorder="1" applyAlignment="1">
      <alignment horizontal="center" vertical="center"/>
    </xf>
    <xf numFmtId="0" fontId="62" fillId="6" borderId="3" xfId="0" applyFont="1" applyFill="1" applyBorder="1" applyAlignment="1">
      <alignment horizontal="center" vertical="center"/>
    </xf>
    <xf numFmtId="0" fontId="60" fillId="5" borderId="1" xfId="0" applyFont="1" applyFill="1" applyBorder="1"/>
    <xf numFmtId="0" fontId="57" fillId="5" borderId="0" xfId="0" applyFont="1" applyFill="1" applyAlignment="1">
      <alignment horizontal="center" vertical="center"/>
    </xf>
    <xf numFmtId="0" fontId="58" fillId="5" borderId="20" xfId="0" applyFont="1" applyFill="1" applyBorder="1" applyAlignment="1">
      <alignment horizontal="center"/>
    </xf>
    <xf numFmtId="0" fontId="37" fillId="2" borderId="20" xfId="0" applyFont="1" applyFill="1" applyBorder="1"/>
    <xf numFmtId="0" fontId="58" fillId="4" borderId="0" xfId="0" applyFont="1" applyFill="1" applyAlignment="1">
      <alignment horizontal="center"/>
    </xf>
    <xf numFmtId="0" fontId="57" fillId="2" borderId="5" xfId="0" applyFont="1" applyFill="1" applyBorder="1"/>
    <xf numFmtId="177" fontId="27" fillId="3" borderId="77" xfId="0" applyNumberFormat="1" applyFont="1" applyFill="1" applyBorder="1" applyAlignment="1">
      <alignment horizontal="right"/>
    </xf>
    <xf numFmtId="179" fontId="60" fillId="30" borderId="2" xfId="0" applyNumberFormat="1" applyFont="1" applyFill="1" applyBorder="1" applyAlignment="1">
      <alignment horizontal="center"/>
    </xf>
    <xf numFmtId="182" fontId="60" fillId="12" borderId="2" xfId="0" applyNumberFormat="1" applyFont="1" applyFill="1" applyBorder="1" applyAlignment="1">
      <alignment horizontal="center"/>
    </xf>
    <xf numFmtId="171" fontId="60" fillId="26" borderId="2" xfId="0" applyNumberFormat="1" applyFont="1" applyFill="1" applyBorder="1" applyAlignment="1">
      <alignment horizontal="center"/>
    </xf>
    <xf numFmtId="179" fontId="60" fillId="20" borderId="2" xfId="0" applyNumberFormat="1" applyFont="1" applyFill="1" applyBorder="1" applyAlignment="1">
      <alignment horizontal="center"/>
    </xf>
    <xf numFmtId="0" fontId="21" fillId="7" borderId="2" xfId="0" applyFont="1" applyFill="1" applyBorder="1" applyAlignment="1">
      <alignment horizontal="center"/>
    </xf>
    <xf numFmtId="0" fontId="59" fillId="2" borderId="0" xfId="0" applyFont="1" applyFill="1"/>
    <xf numFmtId="0" fontId="12" fillId="9" borderId="49" xfId="0" applyFont="1" applyFill="1" applyBorder="1" applyAlignment="1">
      <alignment horizontal="left"/>
    </xf>
    <xf numFmtId="0" fontId="1" fillId="9" borderId="81" xfId="0" applyFont="1" applyFill="1" applyBorder="1" applyAlignment="1">
      <alignment horizontal="center" vertical="top"/>
    </xf>
    <xf numFmtId="0" fontId="1" fillId="9" borderId="81" xfId="0" applyFont="1" applyFill="1" applyBorder="1" applyAlignment="1">
      <alignment horizontal="center"/>
    </xf>
    <xf numFmtId="0" fontId="10" fillId="11" borderId="63" xfId="0" applyFont="1" applyFill="1" applyBorder="1" applyAlignment="1">
      <alignment horizontal="center"/>
    </xf>
    <xf numFmtId="0" fontId="0" fillId="2" borderId="4" xfId="0" applyFill="1" applyBorder="1" applyAlignment="1">
      <alignment horizontal="left"/>
    </xf>
    <xf numFmtId="0" fontId="5" fillId="12" borderId="5" xfId="0" applyFont="1" applyFill="1" applyBorder="1" applyAlignment="1">
      <alignment horizontal="left" vertical="center"/>
    </xf>
    <xf numFmtId="0" fontId="5" fillId="20" borderId="78" xfId="0" applyFont="1" applyFill="1" applyBorder="1" applyAlignment="1">
      <alignment horizontal="left" vertical="center"/>
    </xf>
    <xf numFmtId="0" fontId="11" fillId="2" borderId="76" xfId="0" applyFont="1" applyFill="1" applyBorder="1" applyAlignment="1">
      <alignment horizontal="left"/>
    </xf>
    <xf numFmtId="0" fontId="12" fillId="9" borderId="5" xfId="0" applyFont="1" applyFill="1" applyBorder="1" applyAlignment="1">
      <alignment horizontal="left"/>
    </xf>
    <xf numFmtId="0" fontId="10" fillId="2" borderId="5" xfId="0" applyFont="1" applyFill="1" applyBorder="1" applyAlignment="1">
      <alignment horizontal="left"/>
    </xf>
    <xf numFmtId="0" fontId="12" fillId="9" borderId="77" xfId="0" applyFont="1" applyFill="1" applyBorder="1" applyAlignment="1">
      <alignment horizontal="right"/>
    </xf>
    <xf numFmtId="180" fontId="21" fillId="2" borderId="2" xfId="0" applyNumberFormat="1" applyFont="1" applyFill="1" applyBorder="1" applyAlignment="1">
      <alignment horizontal="center"/>
    </xf>
    <xf numFmtId="182" fontId="21" fillId="13" borderId="2" xfId="0" applyNumberFormat="1" applyFont="1" applyFill="1" applyBorder="1" applyAlignment="1">
      <alignment horizontal="center"/>
    </xf>
    <xf numFmtId="171" fontId="21" fillId="13" borderId="2" xfId="0" applyNumberFormat="1" applyFont="1" applyFill="1" applyBorder="1" applyAlignment="1">
      <alignment horizontal="center"/>
    </xf>
    <xf numFmtId="179" fontId="21" fillId="13" borderId="2" xfId="0" applyNumberFormat="1" applyFont="1" applyFill="1" applyBorder="1" applyAlignment="1">
      <alignment horizontal="center"/>
    </xf>
    <xf numFmtId="0" fontId="21" fillId="13" borderId="2" xfId="0" applyFont="1" applyFill="1" applyBorder="1" applyAlignment="1">
      <alignment horizontal="center"/>
    </xf>
    <xf numFmtId="0" fontId="0" fillId="2" borderId="4" xfId="0" applyFill="1" applyBorder="1"/>
    <xf numFmtId="177" fontId="9" fillId="3" borderId="77" xfId="0" applyNumberFormat="1" applyFont="1" applyFill="1" applyBorder="1"/>
    <xf numFmtId="0" fontId="15" fillId="2" borderId="2" xfId="0" applyFont="1" applyFill="1" applyBorder="1" applyAlignment="1">
      <alignment horizontal="center"/>
    </xf>
    <xf numFmtId="0" fontId="0" fillId="2" borderId="80" xfId="0" applyFill="1" applyBorder="1"/>
    <xf numFmtId="177" fontId="9" fillId="3" borderId="7" xfId="0" applyNumberFormat="1" applyFont="1" applyFill="1" applyBorder="1"/>
    <xf numFmtId="0" fontId="17" fillId="8" borderId="0" xfId="0" applyFont="1" applyFill="1" applyAlignment="1">
      <alignment horizontal="center" vertical="center"/>
    </xf>
    <xf numFmtId="0" fontId="0" fillId="8" borderId="0" xfId="0" applyFill="1"/>
    <xf numFmtId="0" fontId="0" fillId="8" borderId="0" xfId="0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186" fontId="10" fillId="8" borderId="0" xfId="0" applyNumberFormat="1" applyFont="1" applyFill="1"/>
    <xf numFmtId="0" fontId="67" fillId="8" borderId="0" xfId="0" applyFont="1" applyFill="1"/>
    <xf numFmtId="178" fontId="54" fillId="8" borderId="0" xfId="0" applyNumberFormat="1" applyFont="1" applyFill="1" applyAlignment="1">
      <alignment horizontal="left" vertical="center"/>
    </xf>
    <xf numFmtId="0" fontId="67" fillId="8" borderId="0" xfId="0" applyFont="1" applyFill="1" applyAlignment="1">
      <alignment horizontal="right" vertical="top"/>
    </xf>
    <xf numFmtId="0" fontId="26" fillId="8" borderId="0" xfId="0" applyFont="1" applyFill="1"/>
    <xf numFmtId="0" fontId="26" fillId="8" borderId="0" xfId="0" applyFont="1" applyFill="1" applyAlignment="1">
      <alignment horizontal="center"/>
    </xf>
    <xf numFmtId="14" fontId="72" fillId="4" borderId="92" xfId="0" applyNumberFormat="1" applyFont="1" applyFill="1" applyBorder="1" applyAlignment="1">
      <alignment horizontal="center"/>
    </xf>
    <xf numFmtId="0" fontId="21" fillId="5" borderId="91" xfId="0" applyFont="1" applyFill="1" applyBorder="1" applyAlignment="1">
      <alignment horizontal="center" vertical="center"/>
    </xf>
    <xf numFmtId="0" fontId="21" fillId="5" borderId="92" xfId="0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61" fillId="8" borderId="0" xfId="0" applyFont="1" applyFill="1" applyAlignment="1">
      <alignment horizontal="center" vertical="center"/>
    </xf>
    <xf numFmtId="0" fontId="62" fillId="8" borderId="0" xfId="0" applyFont="1" applyFill="1" applyAlignment="1">
      <alignment horizontal="center" vertical="center"/>
    </xf>
    <xf numFmtId="0" fontId="60" fillId="8" borderId="0" xfId="0" applyFont="1" applyFill="1"/>
    <xf numFmtId="0" fontId="57" fillId="4" borderId="93" xfId="0" applyFont="1" applyFill="1" applyBorder="1" applyAlignment="1">
      <alignment horizontal="center" vertical="center"/>
    </xf>
    <xf numFmtId="0" fontId="57" fillId="4" borderId="87" xfId="0" applyFont="1" applyFill="1" applyBorder="1" applyAlignment="1">
      <alignment horizontal="center" vertical="center"/>
    </xf>
    <xf numFmtId="0" fontId="58" fillId="4" borderId="87" xfId="0" applyFont="1" applyFill="1" applyBorder="1" applyAlignment="1">
      <alignment horizontal="center"/>
    </xf>
    <xf numFmtId="177" fontId="29" fillId="4" borderId="94" xfId="0" applyNumberFormat="1" applyFont="1" applyFill="1" applyBorder="1" applyAlignment="1">
      <alignment horizontal="center"/>
    </xf>
    <xf numFmtId="0" fontId="57" fillId="8" borderId="0" xfId="0" applyFont="1" applyFill="1"/>
    <xf numFmtId="0" fontId="59" fillId="8" borderId="0" xfId="0" applyFont="1" applyFill="1"/>
    <xf numFmtId="0" fontId="12" fillId="9" borderId="87" xfId="0" applyFont="1" applyFill="1" applyBorder="1" applyAlignment="1">
      <alignment horizontal="left"/>
    </xf>
    <xf numFmtId="0" fontId="1" fillId="9" borderId="87" xfId="0" applyFont="1" applyFill="1" applyBorder="1" applyAlignment="1">
      <alignment horizontal="center" vertical="top"/>
    </xf>
    <xf numFmtId="0" fontId="1" fillId="9" borderId="87" xfId="0" applyFont="1" applyFill="1" applyBorder="1" applyAlignment="1">
      <alignment horizontal="center"/>
    </xf>
    <xf numFmtId="0" fontId="1" fillId="9" borderId="94" xfId="0" applyFont="1" applyFill="1" applyBorder="1" applyAlignment="1">
      <alignment horizontal="center"/>
    </xf>
    <xf numFmtId="0" fontId="1" fillId="8" borderId="0" xfId="0" applyFont="1" applyFill="1" applyAlignment="1">
      <alignment horizontal="center"/>
    </xf>
    <xf numFmtId="0" fontId="10" fillId="8" borderId="0" xfId="0" applyFont="1" applyFill="1" applyAlignment="1">
      <alignment horizontal="center"/>
    </xf>
    <xf numFmtId="0" fontId="0" fillId="8" borderId="0" xfId="0" applyFill="1" applyAlignment="1">
      <alignment horizontal="left"/>
    </xf>
    <xf numFmtId="0" fontId="5" fillId="12" borderId="93" xfId="0" applyFont="1" applyFill="1" applyBorder="1" applyAlignment="1">
      <alignment horizontal="left" vertical="center"/>
    </xf>
    <xf numFmtId="0" fontId="11" fillId="33" borderId="0" xfId="0" applyFont="1" applyFill="1" applyAlignment="1">
      <alignment horizontal="left"/>
    </xf>
    <xf numFmtId="0" fontId="5" fillId="20" borderId="87" xfId="0" applyFont="1" applyFill="1" applyBorder="1" applyAlignment="1">
      <alignment horizontal="left" vertical="center"/>
    </xf>
    <xf numFmtId="0" fontId="12" fillId="9" borderId="94" xfId="0" applyFont="1" applyFill="1" applyBorder="1" applyAlignment="1">
      <alignment horizontal="left"/>
    </xf>
    <xf numFmtId="0" fontId="10" fillId="8" borderId="0" xfId="0" applyFont="1" applyFill="1" applyAlignment="1">
      <alignment horizontal="left"/>
    </xf>
    <xf numFmtId="0" fontId="76" fillId="33" borderId="87" xfId="2" applyFont="1" applyFill="1" applyBorder="1" applyAlignment="1">
      <alignment horizontal="right" wrapText="1"/>
    </xf>
    <xf numFmtId="0" fontId="76" fillId="33" borderId="94" xfId="2" applyFont="1" applyFill="1" applyBorder="1" applyAlignment="1">
      <alignment horizontal="right" wrapText="1"/>
    </xf>
    <xf numFmtId="0" fontId="76" fillId="8" borderId="0" xfId="2" applyFont="1" applyFill="1" applyAlignment="1">
      <alignment wrapText="1"/>
    </xf>
    <xf numFmtId="0" fontId="85" fillId="33" borderId="93" xfId="2" applyFont="1" applyFill="1" applyBorder="1" applyAlignment="1">
      <alignment horizontal="center" vertical="center" wrapText="1"/>
    </xf>
    <xf numFmtId="0" fontId="76" fillId="33" borderId="0" xfId="2" applyFont="1" applyFill="1" applyAlignment="1">
      <alignment wrapText="1"/>
    </xf>
    <xf numFmtId="177" fontId="76" fillId="33" borderId="87" xfId="2" applyNumberFormat="1" applyFont="1" applyFill="1" applyBorder="1" applyAlignment="1">
      <alignment horizontal="right" wrapText="1"/>
    </xf>
    <xf numFmtId="177" fontId="76" fillId="33" borderId="94" xfId="2" applyNumberFormat="1" applyFont="1" applyFill="1" applyBorder="1" applyAlignment="1">
      <alignment horizontal="right" wrapText="1"/>
    </xf>
    <xf numFmtId="186" fontId="10" fillId="4" borderId="93" xfId="0" applyNumberFormat="1" applyFont="1" applyFill="1" applyBorder="1"/>
    <xf numFmtId="177" fontId="9" fillId="4" borderId="94" xfId="0" applyNumberFormat="1" applyFont="1" applyFill="1" applyBorder="1"/>
    <xf numFmtId="177" fontId="84" fillId="8" borderId="0" xfId="2" applyNumberFormat="1" applyFont="1" applyFill="1" applyAlignment="1">
      <alignment horizontal="right" wrapText="1"/>
    </xf>
    <xf numFmtId="0" fontId="76" fillId="33" borderId="97" xfId="2" applyFont="1" applyFill="1" applyBorder="1" applyAlignment="1">
      <alignment horizontal="right" wrapText="1"/>
    </xf>
    <xf numFmtId="0" fontId="76" fillId="33" borderId="98" xfId="2" applyFont="1" applyFill="1" applyBorder="1" applyAlignment="1">
      <alignment horizontal="right" wrapText="1"/>
    </xf>
    <xf numFmtId="0" fontId="85" fillId="33" borderId="95" xfId="2" applyFont="1" applyFill="1" applyBorder="1" applyAlignment="1">
      <alignment horizontal="center" vertical="center" wrapText="1"/>
    </xf>
    <xf numFmtId="0" fontId="76" fillId="33" borderId="96" xfId="2" applyFont="1" applyFill="1" applyBorder="1" applyAlignment="1">
      <alignment wrapText="1"/>
    </xf>
    <xf numFmtId="177" fontId="76" fillId="33" borderId="97" xfId="2" applyNumberFormat="1" applyFont="1" applyFill="1" applyBorder="1" applyAlignment="1">
      <alignment horizontal="right" wrapText="1"/>
    </xf>
    <xf numFmtId="177" fontId="76" fillId="33" borderId="98" xfId="2" applyNumberFormat="1" applyFont="1" applyFill="1" applyBorder="1" applyAlignment="1">
      <alignment horizontal="right" wrapText="1"/>
    </xf>
    <xf numFmtId="186" fontId="10" fillId="4" borderId="95" xfId="0" applyNumberFormat="1" applyFont="1" applyFill="1" applyBorder="1"/>
    <xf numFmtId="177" fontId="9" fillId="4" borderId="98" xfId="0" applyNumberFormat="1" applyFont="1" applyFill="1" applyBorder="1"/>
    <xf numFmtId="0" fontId="0" fillId="8" borderId="0" xfId="0" quotePrefix="1" applyFill="1"/>
    <xf numFmtId="0" fontId="76" fillId="0" borderId="87" xfId="2" applyFont="1" applyBorder="1" applyAlignment="1" applyProtection="1">
      <alignment horizontal="right" wrapText="1"/>
      <protection locked="0"/>
    </xf>
    <xf numFmtId="0" fontId="76" fillId="0" borderId="97" xfId="2" applyFont="1" applyBorder="1" applyAlignment="1" applyProtection="1">
      <alignment horizontal="right" wrapText="1"/>
      <protection locked="0"/>
    </xf>
    <xf numFmtId="0" fontId="79" fillId="33" borderId="0" xfId="2" applyFont="1" applyFill="1" applyAlignment="1">
      <alignment wrapText="1"/>
    </xf>
    <xf numFmtId="0" fontId="86" fillId="8" borderId="0" xfId="0" applyFont="1" applyFill="1"/>
    <xf numFmtId="0" fontId="87" fillId="8" borderId="0" xfId="0" applyFont="1" applyFill="1" applyAlignment="1">
      <alignment horizontal="center" vertical="center"/>
    </xf>
    <xf numFmtId="0" fontId="88" fillId="8" borderId="0" xfId="0" applyFont="1" applyFill="1" applyAlignment="1">
      <alignment horizontal="left"/>
    </xf>
    <xf numFmtId="0" fontId="89" fillId="8" borderId="0" xfId="0" applyFont="1" applyFill="1"/>
    <xf numFmtId="186" fontId="11" fillId="9" borderId="93" xfId="0" applyNumberFormat="1" applyFont="1" applyFill="1" applyBorder="1" applyAlignment="1">
      <alignment horizontal="left" vertical="center"/>
    </xf>
    <xf numFmtId="0" fontId="12" fillId="9" borderId="94" xfId="0" applyFont="1" applyFill="1" applyBorder="1" applyAlignment="1">
      <alignment horizontal="right"/>
    </xf>
    <xf numFmtId="0" fontId="17" fillId="5" borderId="103" xfId="0" applyFont="1" applyFill="1" applyBorder="1" applyAlignment="1">
      <alignment horizontal="center" vertical="center"/>
    </xf>
    <xf numFmtId="0" fontId="17" fillId="16" borderId="104" xfId="0" applyFont="1" applyFill="1" applyBorder="1" applyAlignment="1">
      <alignment horizontal="center" vertical="center"/>
    </xf>
    <xf numFmtId="0" fontId="78" fillId="33" borderId="104" xfId="2" applyFont="1" applyFill="1" applyBorder="1" applyAlignment="1">
      <alignment wrapText="1"/>
    </xf>
    <xf numFmtId="0" fontId="78" fillId="33" borderId="105" xfId="2" applyFont="1" applyFill="1" applyBorder="1" applyAlignment="1">
      <alignment wrapText="1"/>
    </xf>
    <xf numFmtId="0" fontId="60" fillId="5" borderId="90" xfId="0" applyFont="1" applyFill="1" applyBorder="1"/>
    <xf numFmtId="0" fontId="12" fillId="9" borderId="93" xfId="0" applyFont="1" applyFill="1" applyBorder="1" applyAlignment="1">
      <alignment horizontal="left"/>
    </xf>
    <xf numFmtId="0" fontId="76" fillId="33" borderId="93" xfId="2" applyFont="1" applyFill="1" applyBorder="1" applyAlignment="1">
      <alignment wrapText="1"/>
    </xf>
    <xf numFmtId="0" fontId="79" fillId="33" borderId="93" xfId="2" applyFont="1" applyFill="1" applyBorder="1" applyAlignment="1">
      <alignment wrapText="1"/>
    </xf>
    <xf numFmtId="0" fontId="79" fillId="33" borderId="95" xfId="2" applyFont="1" applyFill="1" applyBorder="1" applyAlignment="1">
      <alignment wrapText="1"/>
    </xf>
    <xf numFmtId="177" fontId="79" fillId="33" borderId="94" xfId="2" applyNumberFormat="1" applyFont="1" applyFill="1" applyBorder="1" applyAlignment="1">
      <alignment horizontal="right" wrapText="1"/>
    </xf>
    <xf numFmtId="177" fontId="79" fillId="33" borderId="98" xfId="2" applyNumberFormat="1" applyFont="1" applyFill="1" applyBorder="1" applyAlignment="1">
      <alignment horizontal="right" wrapText="1"/>
    </xf>
    <xf numFmtId="0" fontId="73" fillId="0" borderId="107" xfId="0" applyFont="1" applyBorder="1" applyProtection="1">
      <protection locked="0"/>
    </xf>
    <xf numFmtId="0" fontId="99" fillId="2" borderId="0" xfId="0" applyFont="1" applyFill="1"/>
    <xf numFmtId="0" fontId="99" fillId="2" borderId="0" xfId="0" applyFont="1" applyFill="1" applyAlignment="1">
      <alignment horizontal="left"/>
    </xf>
    <xf numFmtId="187" fontId="9" fillId="0" borderId="147" xfId="0" applyNumberFormat="1" applyFont="1" applyBorder="1" applyProtection="1">
      <protection locked="0"/>
    </xf>
    <xf numFmtId="187" fontId="9" fillId="0" borderId="109" xfId="0" applyNumberFormat="1" applyFont="1" applyBorder="1" applyProtection="1">
      <protection locked="0"/>
    </xf>
    <xf numFmtId="0" fontId="10" fillId="0" borderId="0" xfId="0" applyFont="1"/>
    <xf numFmtId="0" fontId="15" fillId="0" borderId="0" xfId="0" applyFont="1"/>
    <xf numFmtId="0" fontId="26" fillId="0" borderId="0" xfId="0" applyFont="1"/>
    <xf numFmtId="0" fontId="0" fillId="36" borderId="0" xfId="0" applyFill="1"/>
    <xf numFmtId="0" fontId="0" fillId="9" borderId="0" xfId="0" applyFill="1"/>
    <xf numFmtId="0" fontId="10" fillId="36" borderId="0" xfId="0" applyFont="1" applyFill="1"/>
    <xf numFmtId="0" fontId="15" fillId="24" borderId="0" xfId="0" applyFont="1" applyFill="1"/>
    <xf numFmtId="0" fontId="15" fillId="9" borderId="0" xfId="0" applyFont="1" applyFill="1"/>
    <xf numFmtId="0" fontId="27" fillId="15" borderId="0" xfId="0" applyFont="1" applyFill="1"/>
    <xf numFmtId="0" fontId="15" fillId="15" borderId="0" xfId="0" applyFont="1" applyFill="1"/>
    <xf numFmtId="0" fontId="0" fillId="35" borderId="0" xfId="0" applyFill="1"/>
    <xf numFmtId="0" fontId="27" fillId="36" borderId="117" xfId="0" applyFont="1" applyFill="1" applyBorder="1"/>
    <xf numFmtId="0" fontId="27" fillId="36" borderId="0" xfId="0" applyFont="1" applyFill="1"/>
    <xf numFmtId="0" fontId="27" fillId="9" borderId="0" xfId="0" applyFont="1" applyFill="1"/>
    <xf numFmtId="0" fontId="2" fillId="36" borderId="0" xfId="0" applyFont="1" applyFill="1"/>
    <xf numFmtId="0" fontId="26" fillId="36" borderId="118" xfId="0" applyFont="1" applyFill="1" applyBorder="1"/>
    <xf numFmtId="0" fontId="1" fillId="36" borderId="118" xfId="0" applyFont="1" applyFill="1" applyBorder="1"/>
    <xf numFmtId="0" fontId="1" fillId="36" borderId="0" xfId="0" applyFont="1" applyFill="1"/>
    <xf numFmtId="0" fontId="2" fillId="15" borderId="0" xfId="0" applyFont="1" applyFill="1"/>
    <xf numFmtId="0" fontId="2" fillId="35" borderId="0" xfId="0" applyFont="1" applyFill="1"/>
    <xf numFmtId="0" fontId="26" fillId="35" borderId="0" xfId="0" applyFont="1" applyFill="1"/>
    <xf numFmtId="0" fontId="10" fillId="36" borderId="0" xfId="0" applyFont="1" applyFill="1" applyAlignment="1">
      <alignment vertical="top"/>
    </xf>
    <xf numFmtId="0" fontId="0" fillId="15" borderId="0" xfId="0" applyFill="1" applyAlignment="1">
      <alignment horizontal="center"/>
    </xf>
    <xf numFmtId="168" fontId="17" fillId="35" borderId="0" xfId="0" applyNumberFormat="1" applyFont="1" applyFill="1" applyAlignment="1">
      <alignment vertical="center"/>
    </xf>
    <xf numFmtId="168" fontId="17" fillId="35" borderId="0" xfId="0" quotePrefix="1" applyNumberFormat="1" applyFont="1" applyFill="1" applyAlignment="1">
      <alignment vertical="center"/>
    </xf>
    <xf numFmtId="0" fontId="0" fillId="35" borderId="0" xfId="0" applyFill="1" applyAlignment="1">
      <alignment horizontal="center"/>
    </xf>
    <xf numFmtId="0" fontId="25" fillId="19" borderId="0" xfId="0" applyFont="1" applyFill="1" applyAlignment="1">
      <alignment horizontal="center"/>
    </xf>
    <xf numFmtId="0" fontId="1" fillId="19" borderId="0" xfId="0" applyFont="1" applyFill="1"/>
    <xf numFmtId="0" fontId="92" fillId="3" borderId="106" xfId="0" applyFont="1" applyFill="1" applyBorder="1"/>
    <xf numFmtId="0" fontId="92" fillId="3" borderId="107" xfId="0" applyFont="1" applyFill="1" applyBorder="1"/>
    <xf numFmtId="164" fontId="97" fillId="5" borderId="108" xfId="0" applyNumberFormat="1" applyFont="1" applyFill="1" applyBorder="1"/>
    <xf numFmtId="0" fontId="92" fillId="22" borderId="106" xfId="0" applyFont="1" applyFill="1" applyBorder="1"/>
    <xf numFmtId="0" fontId="92" fillId="22" borderId="107" xfId="0" applyFont="1" applyFill="1" applyBorder="1"/>
    <xf numFmtId="0" fontId="5" fillId="37" borderId="120" xfId="0" applyFont="1" applyFill="1" applyBorder="1" applyAlignment="1">
      <alignment horizontal="center" vertical="center"/>
    </xf>
    <xf numFmtId="0" fontId="5" fillId="37" borderId="107" xfId="0" applyFont="1" applyFill="1" applyBorder="1" applyAlignment="1">
      <alignment vertical="center"/>
    </xf>
    <xf numFmtId="0" fontId="5" fillId="37" borderId="121" xfId="0" applyFont="1" applyFill="1" applyBorder="1" applyAlignment="1">
      <alignment horizontal="center" vertical="center"/>
    </xf>
    <xf numFmtId="0" fontId="5" fillId="20" borderId="145" xfId="0" applyFont="1" applyFill="1" applyBorder="1" applyAlignment="1">
      <alignment horizontal="left" vertical="center"/>
    </xf>
    <xf numFmtId="0" fontId="13" fillId="9" borderId="137" xfId="0" applyFont="1" applyFill="1" applyBorder="1" applyAlignment="1">
      <alignment horizontal="center" vertical="center"/>
    </xf>
    <xf numFmtId="0" fontId="13" fillId="9" borderId="146" xfId="0" applyFont="1" applyFill="1" applyBorder="1" applyAlignment="1">
      <alignment horizontal="right" vertical="center"/>
    </xf>
    <xf numFmtId="0" fontId="5" fillId="20" borderId="150" xfId="0" applyFont="1" applyFill="1" applyBorder="1" applyAlignment="1">
      <alignment horizontal="left" vertical="center"/>
    </xf>
    <xf numFmtId="0" fontId="5" fillId="20" borderId="137" xfId="0" applyFont="1" applyFill="1" applyBorder="1" applyAlignment="1">
      <alignment horizontal="left" vertical="center"/>
    </xf>
    <xf numFmtId="0" fontId="13" fillId="9" borderId="137" xfId="0" applyFont="1" applyFill="1" applyBorder="1" applyAlignment="1">
      <alignment horizontal="left" vertical="center"/>
    </xf>
    <xf numFmtId="0" fontId="13" fillId="9" borderId="146" xfId="0" applyFont="1" applyFill="1" applyBorder="1" applyAlignment="1">
      <alignment horizontal="left" vertical="center"/>
    </xf>
    <xf numFmtId="167" fontId="95" fillId="9" borderId="87" xfId="0" applyNumberFormat="1" applyFont="1" applyFill="1" applyBorder="1" applyAlignment="1">
      <alignment horizontal="left" vertical="center"/>
    </xf>
    <xf numFmtId="167" fontId="95" fillId="9" borderId="87" xfId="0" applyNumberFormat="1" applyFont="1" applyFill="1" applyBorder="1" applyAlignment="1">
      <alignment vertical="center"/>
    </xf>
    <xf numFmtId="0" fontId="4" fillId="10" borderId="122" xfId="0" applyFont="1" applyFill="1" applyBorder="1" applyAlignment="1">
      <alignment horizontal="center"/>
    </xf>
    <xf numFmtId="0" fontId="0" fillId="2" borderId="111" xfId="0" applyFill="1" applyBorder="1"/>
    <xf numFmtId="165" fontId="6" fillId="37" borderId="123" xfId="0" applyNumberFormat="1" applyFont="1" applyFill="1" applyBorder="1" applyAlignment="1">
      <alignment horizontal="center"/>
    </xf>
    <xf numFmtId="166" fontId="9" fillId="3" borderId="112" xfId="0" applyNumberFormat="1" applyFont="1" applyFill="1" applyBorder="1"/>
    <xf numFmtId="164" fontId="9" fillId="3" borderId="134" xfId="0" applyNumberFormat="1" applyFont="1" applyFill="1" applyBorder="1"/>
    <xf numFmtId="166" fontId="94" fillId="3" borderId="87" xfId="0" applyNumberFormat="1" applyFont="1" applyFill="1" applyBorder="1"/>
    <xf numFmtId="188" fontId="94" fillId="22" borderId="87" xfId="0" applyNumberFormat="1" applyFont="1" applyFill="1" applyBorder="1"/>
    <xf numFmtId="0" fontId="4" fillId="10" borderId="124" xfId="0" applyFont="1" applyFill="1" applyBorder="1" applyAlignment="1">
      <alignment horizontal="center"/>
    </xf>
    <xf numFmtId="164" fontId="9" fillId="3" borderId="148" xfId="0" applyNumberFormat="1" applyFont="1" applyFill="1" applyBorder="1"/>
    <xf numFmtId="0" fontId="4" fillId="10" borderId="125" xfId="0" applyFont="1" applyFill="1" applyBorder="1" applyAlignment="1">
      <alignment horizontal="center"/>
    </xf>
    <xf numFmtId="187" fontId="9" fillId="6" borderId="147" xfId="0" applyNumberFormat="1" applyFont="1" applyFill="1" applyBorder="1"/>
    <xf numFmtId="166" fontId="9" fillId="6" borderId="112" xfId="0" applyNumberFormat="1" applyFont="1" applyFill="1" applyBorder="1"/>
    <xf numFmtId="164" fontId="9" fillId="6" borderId="148" xfId="0" applyNumberFormat="1" applyFont="1" applyFill="1" applyBorder="1"/>
    <xf numFmtId="187" fontId="93" fillId="6" borderId="87" xfId="0" applyNumberFormat="1" applyFont="1" applyFill="1" applyBorder="1"/>
    <xf numFmtId="166" fontId="93" fillId="6" borderId="87" xfId="0" applyNumberFormat="1" applyFont="1" applyFill="1" applyBorder="1"/>
    <xf numFmtId="164" fontId="93" fillId="6" borderId="87" xfId="0" applyNumberFormat="1" applyFont="1" applyFill="1" applyBorder="1"/>
    <xf numFmtId="165" fontId="6" fillId="37" borderId="126" xfId="0" applyNumberFormat="1" applyFont="1" applyFill="1" applyBorder="1" applyAlignment="1">
      <alignment horizontal="center"/>
    </xf>
    <xf numFmtId="0" fontId="4" fillId="10" borderId="127" xfId="0" applyFont="1" applyFill="1" applyBorder="1" applyAlignment="1">
      <alignment horizontal="center"/>
    </xf>
    <xf numFmtId="165" fontId="6" fillId="37" borderId="128" xfId="0" applyNumberFormat="1" applyFont="1" applyFill="1" applyBorder="1" applyAlignment="1">
      <alignment horizontal="center"/>
    </xf>
    <xf numFmtId="0" fontId="4" fillId="10" borderId="129" xfId="0" applyFont="1" applyFill="1" applyBorder="1" applyAlignment="1">
      <alignment horizontal="center"/>
    </xf>
    <xf numFmtId="0" fontId="0" fillId="2" borderId="111" xfId="0" applyFill="1" applyBorder="1" applyAlignment="1">
      <alignment horizontal="left"/>
    </xf>
    <xf numFmtId="0" fontId="4" fillId="10" borderId="130" xfId="0" applyFont="1" applyFill="1" applyBorder="1" applyAlignment="1">
      <alignment horizontal="center"/>
    </xf>
    <xf numFmtId="0" fontId="0" fillId="2" borderId="131" xfId="0" applyFill="1" applyBorder="1"/>
    <xf numFmtId="165" fontId="6" fillId="37" borderId="132" xfId="0" applyNumberFormat="1" applyFont="1" applyFill="1" applyBorder="1" applyAlignment="1">
      <alignment horizontal="center"/>
    </xf>
    <xf numFmtId="187" fontId="9" fillId="6" borderId="109" xfId="0" applyNumberFormat="1" applyFont="1" applyFill="1" applyBorder="1"/>
    <xf numFmtId="166" fontId="9" fillId="6" borderId="96" xfId="0" applyNumberFormat="1" applyFont="1" applyFill="1" applyBorder="1"/>
    <xf numFmtId="164" fontId="9" fillId="6" borderId="149" xfId="0" applyNumberFormat="1" applyFont="1" applyFill="1" applyBorder="1"/>
    <xf numFmtId="187" fontId="93" fillId="6" borderId="156" xfId="0" applyNumberFormat="1" applyFont="1" applyFill="1" applyBorder="1"/>
    <xf numFmtId="166" fontId="93" fillId="6" borderId="156" xfId="0" applyNumberFormat="1" applyFont="1" applyFill="1" applyBorder="1"/>
    <xf numFmtId="164" fontId="93" fillId="6" borderId="156" xfId="0" applyNumberFormat="1" applyFont="1" applyFill="1" applyBorder="1"/>
    <xf numFmtId="0" fontId="15" fillId="35" borderId="0" xfId="0" applyFont="1" applyFill="1"/>
    <xf numFmtId="0" fontId="0" fillId="24" borderId="0" xfId="0" applyFill="1"/>
    <xf numFmtId="0" fontId="5" fillId="37" borderId="142" xfId="0" applyFont="1" applyFill="1" applyBorder="1" applyAlignment="1">
      <alignment horizontal="center" vertical="center"/>
    </xf>
    <xf numFmtId="0" fontId="5" fillId="37" borderId="143" xfId="0" applyFont="1" applyFill="1" applyBorder="1" applyAlignment="1">
      <alignment vertical="center"/>
    </xf>
    <xf numFmtId="0" fontId="5" fillId="37" borderId="144" xfId="0" applyFont="1" applyFill="1" applyBorder="1" applyAlignment="1">
      <alignment horizontal="center" vertical="center"/>
    </xf>
    <xf numFmtId="167" fontId="95" fillId="9" borderId="87" xfId="0" applyNumberFormat="1" applyFont="1" applyFill="1" applyBorder="1" applyAlignment="1">
      <alignment horizontal="right" vertical="center"/>
    </xf>
    <xf numFmtId="0" fontId="4" fillId="10" borderId="140" xfId="0" applyFont="1" applyFill="1" applyBorder="1" applyAlignment="1">
      <alignment horizontal="center"/>
    </xf>
    <xf numFmtId="165" fontId="6" fillId="8" borderId="141" xfId="0" applyNumberFormat="1" applyFont="1" applyFill="1" applyBorder="1" applyAlignment="1">
      <alignment horizontal="center"/>
    </xf>
    <xf numFmtId="166" fontId="94" fillId="3" borderId="87" xfId="0" applyNumberFormat="1" applyFont="1" applyFill="1" applyBorder="1" applyAlignment="1">
      <alignment horizontal="right"/>
    </xf>
    <xf numFmtId="165" fontId="6" fillId="8" borderId="133" xfId="0" applyNumberFormat="1" applyFont="1" applyFill="1" applyBorder="1" applyAlignment="1">
      <alignment horizontal="center"/>
    </xf>
    <xf numFmtId="165" fontId="6" fillId="8" borderId="134" xfId="0" applyNumberFormat="1" applyFont="1" applyFill="1" applyBorder="1" applyAlignment="1">
      <alignment horizontal="center"/>
    </xf>
    <xf numFmtId="165" fontId="6" fillId="8" borderId="135" xfId="0" applyNumberFormat="1" applyFont="1" applyFill="1" applyBorder="1" applyAlignment="1">
      <alignment horizontal="center"/>
    </xf>
    <xf numFmtId="165" fontId="6" fillId="8" borderId="136" xfId="0" applyNumberFormat="1" applyFont="1" applyFill="1" applyBorder="1" applyAlignment="1">
      <alignment horizontal="center"/>
    </xf>
    <xf numFmtId="166" fontId="9" fillId="3" borderId="96" xfId="0" applyNumberFormat="1" applyFont="1" applyFill="1" applyBorder="1"/>
    <xf numFmtId="164" fontId="9" fillId="3" borderId="149" xfId="0" applyNumberFormat="1" applyFont="1" applyFill="1" applyBorder="1"/>
    <xf numFmtId="0" fontId="101" fillId="0" borderId="86" xfId="3" applyFont="1" applyBorder="1" applyAlignment="1">
      <alignment wrapText="1"/>
    </xf>
    <xf numFmtId="0" fontId="101" fillId="0" borderId="86" xfId="3" applyFont="1" applyBorder="1" applyAlignment="1">
      <alignment horizontal="right" wrapText="1"/>
    </xf>
    <xf numFmtId="177" fontId="101" fillId="0" borderId="86" xfId="3" applyNumberFormat="1" applyFont="1" applyBorder="1" applyAlignment="1">
      <alignment horizontal="right" wrapText="1"/>
    </xf>
    <xf numFmtId="183" fontId="101" fillId="0" borderId="86" xfId="3" applyNumberFormat="1" applyFont="1" applyBorder="1" applyAlignment="1">
      <alignment horizontal="right" wrapText="1"/>
    </xf>
    <xf numFmtId="184" fontId="101" fillId="0" borderId="86" xfId="3" applyNumberFormat="1" applyFont="1" applyBorder="1" applyAlignment="1">
      <alignment horizontal="right" wrapText="1"/>
    </xf>
    <xf numFmtId="185" fontId="101" fillId="0" borderId="86" xfId="3" applyNumberFormat="1" applyFont="1" applyBorder="1" applyAlignment="1">
      <alignment horizontal="right" wrapText="1"/>
    </xf>
    <xf numFmtId="181" fontId="101" fillId="0" borderId="86" xfId="3" applyNumberFormat="1" applyFont="1" applyBorder="1" applyAlignment="1">
      <alignment horizontal="right" wrapText="1"/>
    </xf>
    <xf numFmtId="0" fontId="100" fillId="0" borderId="0" xfId="3"/>
    <xf numFmtId="0" fontId="102" fillId="2" borderId="0" xfId="0" applyFont="1" applyFill="1" applyAlignment="1">
      <alignment horizontal="center" vertical="center"/>
    </xf>
    <xf numFmtId="0" fontId="102" fillId="5" borderId="79" xfId="0" applyFont="1" applyFill="1" applyBorder="1" applyAlignment="1">
      <alignment horizontal="center" vertical="center"/>
    </xf>
    <xf numFmtId="0" fontId="102" fillId="16" borderId="41" xfId="0" applyFont="1" applyFill="1" applyBorder="1" applyAlignment="1">
      <alignment horizontal="center" vertical="center"/>
    </xf>
    <xf numFmtId="0" fontId="103" fillId="0" borderId="86" xfId="3" applyFont="1" applyBorder="1" applyAlignment="1">
      <alignment wrapText="1"/>
    </xf>
    <xf numFmtId="0" fontId="6" fillId="5" borderId="73" xfId="0" applyFont="1" applyFill="1" applyBorder="1" applyAlignment="1">
      <alignment horizontal="center" vertical="center"/>
    </xf>
    <xf numFmtId="0" fontId="6" fillId="5" borderId="74" xfId="0" applyFont="1" applyFill="1" applyBorder="1" applyAlignment="1">
      <alignment horizontal="center" vertical="center"/>
    </xf>
    <xf numFmtId="0" fontId="90" fillId="8" borderId="106" xfId="0" applyFont="1" applyFill="1" applyBorder="1" applyAlignment="1" applyProtection="1">
      <alignment horizontal="center" vertical="center"/>
      <protection locked="0"/>
    </xf>
    <xf numFmtId="0" fontId="90" fillId="8" borderId="107" xfId="0" applyFont="1" applyFill="1" applyBorder="1" applyAlignment="1" applyProtection="1">
      <alignment horizontal="center" vertical="center"/>
      <protection locked="0"/>
    </xf>
    <xf numFmtId="0" fontId="90" fillId="8" borderId="108" xfId="0" applyFont="1" applyFill="1" applyBorder="1" applyAlignment="1" applyProtection="1">
      <alignment horizontal="center" vertical="center"/>
      <protection locked="0"/>
    </xf>
    <xf numFmtId="0" fontId="91" fillId="8" borderId="109" xfId="1" applyFont="1" applyFill="1" applyBorder="1" applyAlignment="1" applyProtection="1">
      <alignment horizontal="center" vertical="center"/>
      <protection locked="0"/>
    </xf>
    <xf numFmtId="0" fontId="91" fillId="8" borderId="96" xfId="1" applyFont="1" applyFill="1" applyBorder="1" applyAlignment="1" applyProtection="1">
      <alignment horizontal="center" vertical="center"/>
      <protection locked="0"/>
    </xf>
    <xf numFmtId="0" fontId="91" fillId="8" borderId="110" xfId="1" applyFont="1" applyFill="1" applyBorder="1" applyAlignment="1" applyProtection="1">
      <alignment horizontal="center" vertical="center"/>
      <protection locked="0"/>
    </xf>
    <xf numFmtId="0" fontId="65" fillId="28" borderId="42" xfId="0" applyFont="1" applyFill="1" applyBorder="1" applyAlignment="1">
      <alignment horizontal="center" vertical="center"/>
    </xf>
    <xf numFmtId="0" fontId="65" fillId="28" borderId="6" xfId="0" applyFont="1" applyFill="1" applyBorder="1" applyAlignment="1">
      <alignment horizontal="center" vertical="center"/>
    </xf>
    <xf numFmtId="0" fontId="54" fillId="2" borderId="0" xfId="0" applyFont="1" applyFill="1" applyAlignment="1">
      <alignment horizontal="left" vertical="center"/>
    </xf>
    <xf numFmtId="14" fontId="72" fillId="8" borderId="79" xfId="0" applyNumberFormat="1" applyFont="1" applyFill="1" applyBorder="1" applyAlignment="1">
      <alignment horizontal="right"/>
    </xf>
    <xf numFmtId="14" fontId="72" fillId="8" borderId="46" xfId="0" applyNumberFormat="1" applyFont="1" applyFill="1" applyBorder="1" applyAlignment="1">
      <alignment horizontal="right"/>
    </xf>
    <xf numFmtId="14" fontId="72" fillId="8" borderId="47" xfId="0" applyNumberFormat="1" applyFont="1" applyFill="1" applyBorder="1" applyAlignment="1">
      <alignment horizontal="right"/>
    </xf>
    <xf numFmtId="0" fontId="65" fillId="27" borderId="41" xfId="0" applyFont="1" applyFill="1" applyBorder="1" applyAlignment="1">
      <alignment horizontal="center" vertical="center"/>
    </xf>
    <xf numFmtId="0" fontId="65" fillId="27" borderId="42" xfId="0" applyFont="1" applyFill="1" applyBorder="1" applyAlignment="1">
      <alignment horizontal="center" vertical="center"/>
    </xf>
    <xf numFmtId="0" fontId="65" fillId="27" borderId="6" xfId="0" applyFont="1" applyFill="1" applyBorder="1" applyAlignment="1">
      <alignment horizontal="center" vertical="center"/>
    </xf>
    <xf numFmtId="0" fontId="66" fillId="6" borderId="79" xfId="0" applyFont="1" applyFill="1" applyBorder="1" applyAlignment="1">
      <alignment horizontal="center" vertical="center"/>
    </xf>
    <xf numFmtId="0" fontId="66" fillId="6" borderId="46" xfId="0" applyFont="1" applyFill="1" applyBorder="1" applyAlignment="1">
      <alignment horizontal="center" vertical="center"/>
    </xf>
    <xf numFmtId="0" fontId="66" fillId="6" borderId="47" xfId="0" applyFont="1" applyFill="1" applyBorder="1" applyAlignment="1">
      <alignment horizontal="center" vertical="center"/>
    </xf>
    <xf numFmtId="164" fontId="9" fillId="22" borderId="113" xfId="0" applyNumberFormat="1" applyFont="1" applyFill="1" applyBorder="1" applyAlignment="1">
      <alignment horizontal="center"/>
    </xf>
    <xf numFmtId="164" fontId="9" fillId="22" borderId="152" xfId="0" applyNumberFormat="1" applyFont="1" applyFill="1" applyBorder="1" applyAlignment="1">
      <alignment horizontal="center"/>
    </xf>
    <xf numFmtId="166" fontId="9" fillId="22" borderId="114" xfId="0" applyNumberFormat="1" applyFont="1" applyFill="1" applyBorder="1" applyAlignment="1">
      <alignment horizontal="center"/>
    </xf>
    <xf numFmtId="166" fontId="9" fillId="22" borderId="113" xfId="0" applyNumberFormat="1" applyFont="1" applyFill="1" applyBorder="1" applyAlignment="1">
      <alignment horizontal="center"/>
    </xf>
    <xf numFmtId="166" fontId="94" fillId="3" borderId="87" xfId="0" applyNumberFormat="1" applyFont="1" applyFill="1" applyBorder="1" applyAlignment="1">
      <alignment horizontal="right"/>
    </xf>
    <xf numFmtId="0" fontId="93" fillId="3" borderId="87" xfId="0" applyFont="1" applyFill="1" applyBorder="1" applyAlignment="1">
      <alignment horizontal="center" vertical="center"/>
    </xf>
    <xf numFmtId="187" fontId="9" fillId="0" borderId="147" xfId="0" applyNumberFormat="1" applyFont="1" applyBorder="1" applyAlignment="1" applyProtection="1">
      <alignment horizontal="center"/>
      <protection locked="0"/>
    </xf>
    <xf numFmtId="187" fontId="9" fillId="0" borderId="0" xfId="0" applyNumberFormat="1" applyFont="1" applyAlignment="1" applyProtection="1">
      <alignment horizontal="center"/>
      <protection locked="0"/>
    </xf>
    <xf numFmtId="187" fontId="9" fillId="0" borderId="109" xfId="0" applyNumberFormat="1" applyFont="1" applyBorder="1" applyAlignment="1" applyProtection="1">
      <alignment horizontal="center"/>
      <protection locked="0"/>
    </xf>
    <xf numFmtId="187" fontId="9" fillId="0" borderId="96" xfId="0" applyNumberFormat="1" applyFont="1" applyBorder="1" applyAlignment="1" applyProtection="1">
      <alignment horizontal="center"/>
      <protection locked="0"/>
    </xf>
    <xf numFmtId="166" fontId="9" fillId="22" borderId="153" xfId="0" applyNumberFormat="1" applyFont="1" applyFill="1" applyBorder="1" applyAlignment="1">
      <alignment horizontal="center"/>
    </xf>
    <xf numFmtId="166" fontId="9" fillId="22" borderId="154" xfId="0" applyNumberFormat="1" applyFont="1" applyFill="1" applyBorder="1" applyAlignment="1">
      <alignment horizontal="center"/>
    </xf>
    <xf numFmtId="164" fontId="9" fillId="22" borderId="154" xfId="0" applyNumberFormat="1" applyFont="1" applyFill="1" applyBorder="1" applyAlignment="1">
      <alignment horizontal="center"/>
    </xf>
    <xf numFmtId="164" fontId="9" fillId="22" borderId="155" xfId="0" applyNumberFormat="1" applyFont="1" applyFill="1" applyBorder="1" applyAlignment="1">
      <alignment horizontal="center"/>
    </xf>
    <xf numFmtId="167" fontId="95" fillId="9" borderId="87" xfId="0" applyNumberFormat="1" applyFont="1" applyFill="1" applyBorder="1" applyAlignment="1">
      <alignment horizontal="right" vertical="center"/>
    </xf>
    <xf numFmtId="188" fontId="9" fillId="22" borderId="138" xfId="0" applyNumberFormat="1" applyFont="1" applyFill="1" applyBorder="1" applyAlignment="1">
      <alignment horizontal="center"/>
    </xf>
    <xf numFmtId="188" fontId="9" fillId="22" borderId="139" xfId="0" applyNumberFormat="1" applyFont="1" applyFill="1" applyBorder="1" applyAlignment="1">
      <alignment horizontal="center"/>
    </xf>
    <xf numFmtId="164" fontId="9" fillId="22" borderId="139" xfId="0" applyNumberFormat="1" applyFont="1" applyFill="1" applyBorder="1" applyAlignment="1">
      <alignment horizontal="center"/>
    </xf>
    <xf numFmtId="164" fontId="9" fillId="22" borderId="151" xfId="0" applyNumberFormat="1" applyFont="1" applyFill="1" applyBorder="1" applyAlignment="1">
      <alignment horizontal="center"/>
    </xf>
    <xf numFmtId="0" fontId="96" fillId="2" borderId="115" xfId="1" applyFont="1" applyFill="1" applyBorder="1" applyAlignment="1" applyProtection="1">
      <alignment horizontal="center" vertical="center"/>
    </xf>
    <xf numFmtId="0" fontId="96" fillId="2" borderId="116" xfId="1" applyFont="1" applyFill="1" applyBorder="1" applyAlignment="1" applyProtection="1">
      <alignment horizontal="center" vertical="center"/>
    </xf>
    <xf numFmtId="0" fontId="96" fillId="2" borderId="119" xfId="1" applyFont="1" applyFill="1" applyBorder="1" applyAlignment="1" applyProtection="1">
      <alignment horizontal="center" vertical="center"/>
    </xf>
    <xf numFmtId="0" fontId="93" fillId="34" borderId="87" xfId="0" applyFont="1" applyFill="1" applyBorder="1" applyAlignment="1">
      <alignment horizontal="center" vertical="center"/>
    </xf>
    <xf numFmtId="168" fontId="17" fillId="35" borderId="0" xfId="0" applyNumberFormat="1" applyFont="1" applyFill="1" applyAlignment="1">
      <alignment horizontal="center" vertical="center"/>
    </xf>
    <xf numFmtId="0" fontId="93" fillId="22" borderId="87" xfId="0" applyFont="1" applyFill="1" applyBorder="1" applyAlignment="1">
      <alignment horizontal="center" vertical="center"/>
    </xf>
    <xf numFmtId="164" fontId="0" fillId="9" borderId="0" xfId="0" applyNumberFormat="1" applyFill="1" applyAlignment="1">
      <alignment horizontal="center"/>
    </xf>
    <xf numFmtId="164" fontId="97" fillId="5" borderId="107" xfId="0" applyNumberFormat="1" applyFont="1" applyFill="1" applyBorder="1" applyAlignment="1">
      <alignment horizontal="right"/>
    </xf>
    <xf numFmtId="164" fontId="97" fillId="5" borderId="108" xfId="0" applyNumberFormat="1" applyFont="1" applyFill="1" applyBorder="1" applyAlignment="1">
      <alignment horizontal="right"/>
    </xf>
    <xf numFmtId="0" fontId="6" fillId="35" borderId="0" xfId="0" applyFont="1" applyFill="1" applyAlignment="1">
      <alignment horizontal="center"/>
    </xf>
    <xf numFmtId="0" fontId="98" fillId="35" borderId="0" xfId="0" applyFont="1" applyFill="1" applyAlignment="1">
      <alignment horizontal="center"/>
    </xf>
    <xf numFmtId="0" fontId="75" fillId="31" borderId="0" xfId="1" applyFont="1" applyFill="1" applyAlignment="1" applyProtection="1">
      <alignment horizontal="center" vertical="center"/>
      <protection locked="0"/>
    </xf>
    <xf numFmtId="186" fontId="83" fillId="32" borderId="99" xfId="0" applyNumberFormat="1" applyFont="1" applyFill="1" applyBorder="1" applyAlignment="1">
      <alignment horizontal="center" vertical="center"/>
    </xf>
    <xf numFmtId="186" fontId="83" fillId="32" borderId="101" xfId="0" applyNumberFormat="1" applyFont="1" applyFill="1" applyBorder="1" applyAlignment="1">
      <alignment horizontal="center" vertical="center"/>
    </xf>
    <xf numFmtId="177" fontId="27" fillId="32" borderId="100" xfId="0" applyNumberFormat="1" applyFont="1" applyFill="1" applyBorder="1" applyAlignment="1">
      <alignment horizontal="center" vertical="center"/>
    </xf>
    <xf numFmtId="177" fontId="27" fillId="32" borderId="102" xfId="0" applyNumberFormat="1" applyFont="1" applyFill="1" applyBorder="1" applyAlignment="1">
      <alignment horizontal="center" vertical="center"/>
    </xf>
    <xf numFmtId="0" fontId="54" fillId="8" borderId="0" xfId="0" applyFont="1" applyFill="1" applyAlignment="1">
      <alignment horizontal="left" vertical="center"/>
    </xf>
    <xf numFmtId="177" fontId="29" fillId="5" borderId="93" xfId="0" applyNumberFormat="1" applyFont="1" applyFill="1" applyBorder="1" applyAlignment="1">
      <alignment horizontal="right" vertical="center"/>
    </xf>
    <xf numFmtId="177" fontId="29" fillId="5" borderId="88" xfId="0" applyNumberFormat="1" applyFont="1" applyFill="1" applyBorder="1" applyAlignment="1">
      <alignment horizontal="right" vertical="center"/>
    </xf>
    <xf numFmtId="177" fontId="29" fillId="5" borderId="87" xfId="0" applyNumberFormat="1" applyFont="1" applyFill="1" applyBorder="1" applyAlignment="1">
      <alignment horizontal="right" vertical="center"/>
    </xf>
    <xf numFmtId="177" fontId="29" fillId="5" borderId="89" xfId="0" applyNumberFormat="1" applyFont="1" applyFill="1" applyBorder="1" applyAlignment="1">
      <alignment horizontal="right" vertical="center"/>
    </xf>
    <xf numFmtId="177" fontId="29" fillId="5" borderId="94" xfId="0" applyNumberFormat="1" applyFont="1" applyFill="1" applyBorder="1" applyAlignment="1">
      <alignment horizontal="right" vertical="center"/>
    </xf>
    <xf numFmtId="0" fontId="82" fillId="5" borderId="90" xfId="0" applyFont="1" applyFill="1" applyBorder="1" applyAlignment="1">
      <alignment horizontal="left" vertical="center"/>
    </xf>
    <xf numFmtId="0" fontId="82" fillId="5" borderId="91" xfId="0" applyFont="1" applyFill="1" applyBorder="1" applyAlignment="1">
      <alignment horizontal="left" vertical="center"/>
    </xf>
    <xf numFmtId="0" fontId="82" fillId="5" borderId="92" xfId="0" applyFont="1" applyFill="1" applyBorder="1" applyAlignment="1">
      <alignment horizontal="left" vertical="center"/>
    </xf>
    <xf numFmtId="14" fontId="80" fillId="4" borderId="90" xfId="0" applyNumberFormat="1" applyFont="1" applyFill="1" applyBorder="1" applyAlignment="1">
      <alignment horizontal="left"/>
    </xf>
    <xf numFmtId="14" fontId="80" fillId="4" borderId="91" xfId="0" applyNumberFormat="1" applyFont="1" applyFill="1" applyBorder="1" applyAlignment="1">
      <alignment horizontal="left"/>
    </xf>
    <xf numFmtId="0" fontId="22" fillId="14" borderId="22" xfId="0" applyFont="1" applyFill="1" applyBorder="1" applyAlignment="1">
      <alignment horizontal="center"/>
    </xf>
    <xf numFmtId="0" fontId="22" fillId="14" borderId="25" xfId="0" applyFont="1" applyFill="1" applyBorder="1" applyAlignment="1">
      <alignment horizontal="center"/>
    </xf>
    <xf numFmtId="0" fontId="22" fillId="14" borderId="23" xfId="0" applyFont="1" applyFill="1" applyBorder="1" applyAlignment="1">
      <alignment horizontal="center"/>
    </xf>
    <xf numFmtId="171" fontId="50" fillId="9" borderId="0" xfId="0" applyNumberFormat="1" applyFont="1" applyFill="1" applyAlignment="1">
      <alignment horizontal="center"/>
    </xf>
    <xf numFmtId="0" fontId="17" fillId="17" borderId="20" xfId="0" applyFont="1" applyFill="1" applyBorder="1" applyAlignment="1">
      <alignment horizontal="center"/>
    </xf>
    <xf numFmtId="0" fontId="17" fillId="17" borderId="0" xfId="0" applyFont="1" applyFill="1" applyAlignment="1">
      <alignment horizontal="center"/>
    </xf>
    <xf numFmtId="0" fontId="17" fillId="17" borderId="21" xfId="0" applyFont="1" applyFill="1" applyBorder="1" applyAlignment="1">
      <alignment horizontal="center"/>
    </xf>
    <xf numFmtId="0" fontId="6" fillId="17" borderId="18" xfId="0" applyFont="1" applyFill="1" applyBorder="1" applyAlignment="1">
      <alignment horizontal="left"/>
    </xf>
    <xf numFmtId="0" fontId="6" fillId="17" borderId="24" xfId="0" applyFont="1" applyFill="1" applyBorder="1" applyAlignment="1">
      <alignment horizontal="left"/>
    </xf>
    <xf numFmtId="0" fontId="6" fillId="17" borderId="19" xfId="0" applyFont="1" applyFill="1" applyBorder="1" applyAlignment="1">
      <alignment horizontal="left"/>
    </xf>
    <xf numFmtId="0" fontId="0" fillId="17" borderId="20" xfId="0" applyFill="1" applyBorder="1" applyAlignment="1">
      <alignment horizontal="center"/>
    </xf>
    <xf numFmtId="0" fontId="0" fillId="17" borderId="0" xfId="0" applyFill="1" applyAlignment="1">
      <alignment horizontal="center"/>
    </xf>
    <xf numFmtId="0" fontId="0" fillId="17" borderId="21" xfId="0" applyFill="1" applyBorder="1" applyAlignment="1">
      <alignment horizontal="center"/>
    </xf>
    <xf numFmtId="164" fontId="23" fillId="3" borderId="2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164" fontId="6" fillId="5" borderId="2" xfId="0" applyNumberFormat="1" applyFont="1" applyFill="1" applyBorder="1" applyAlignment="1">
      <alignment horizontal="center"/>
    </xf>
    <xf numFmtId="0" fontId="13" fillId="9" borderId="7" xfId="0" applyFont="1" applyFill="1" applyBorder="1" applyAlignment="1">
      <alignment horizontal="left" vertical="center"/>
    </xf>
    <xf numFmtId="0" fontId="13" fillId="9" borderId="8" xfId="0" applyFont="1" applyFill="1" applyBorder="1" applyAlignment="1">
      <alignment horizontal="left" vertical="center"/>
    </xf>
    <xf numFmtId="167" fontId="24" fillId="9" borderId="39" xfId="0" applyNumberFormat="1" applyFont="1" applyFill="1" applyBorder="1" applyAlignment="1">
      <alignment horizontal="left" vertical="center"/>
    </xf>
    <xf numFmtId="167" fontId="24" fillId="9" borderId="40" xfId="0" applyNumberFormat="1" applyFont="1" applyFill="1" applyBorder="1" applyAlignment="1">
      <alignment horizontal="left" vertical="center"/>
    </xf>
    <xf numFmtId="164" fontId="24" fillId="9" borderId="2" xfId="0" applyNumberFormat="1" applyFont="1" applyFill="1" applyBorder="1" applyAlignment="1">
      <alignment horizontal="right"/>
    </xf>
    <xf numFmtId="0" fontId="99" fillId="2" borderId="34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left"/>
    </xf>
    <xf numFmtId="0" fontId="0" fillId="2" borderId="8" xfId="0" applyFill="1" applyBorder="1" applyAlignment="1">
      <alignment horizontal="left"/>
    </xf>
    <xf numFmtId="166" fontId="0" fillId="2" borderId="0" xfId="0" applyNumberFormat="1" applyFill="1" applyAlignment="1">
      <alignment horizontal="center"/>
    </xf>
    <xf numFmtId="166" fontId="0" fillId="2" borderId="2" xfId="0" applyNumberFormat="1" applyFill="1" applyBorder="1" applyAlignment="1">
      <alignment horizontal="center"/>
    </xf>
    <xf numFmtId="166" fontId="21" fillId="20" borderId="33" xfId="0" applyNumberFormat="1" applyFont="1" applyFill="1" applyBorder="1" applyAlignment="1">
      <alignment horizontal="center" vertical="center"/>
    </xf>
    <xf numFmtId="166" fontId="21" fillId="20" borderId="8" xfId="0" applyNumberFormat="1" applyFont="1" applyFill="1" applyBorder="1" applyAlignment="1">
      <alignment horizontal="center" vertical="center"/>
    </xf>
    <xf numFmtId="0" fontId="99" fillId="2" borderId="38" xfId="0" applyFont="1" applyFill="1" applyBorder="1" applyAlignment="1">
      <alignment horizontal="center" vertical="center"/>
    </xf>
    <xf numFmtId="0" fontId="10" fillId="5" borderId="31" xfId="0" applyFont="1" applyFill="1" applyBorder="1" applyAlignment="1">
      <alignment horizontal="center" vertical="center"/>
    </xf>
    <xf numFmtId="0" fontId="10" fillId="5" borderId="32" xfId="0" applyFont="1" applyFill="1" applyBorder="1" applyAlignment="1">
      <alignment horizontal="center" vertical="center"/>
    </xf>
    <xf numFmtId="167" fontId="24" fillId="9" borderId="29" xfId="0" applyNumberFormat="1" applyFont="1" applyFill="1" applyBorder="1" applyAlignment="1">
      <alignment horizontal="left" vertical="center"/>
    </xf>
    <xf numFmtId="167" fontId="24" fillId="9" borderId="30" xfId="0" applyNumberFormat="1" applyFont="1" applyFill="1" applyBorder="1" applyAlignment="1">
      <alignment horizontal="left" vertical="center"/>
    </xf>
    <xf numFmtId="0" fontId="9" fillId="5" borderId="7" xfId="0" applyFont="1" applyFill="1" applyBorder="1" applyAlignment="1">
      <alignment horizontal="center"/>
    </xf>
    <xf numFmtId="0" fontId="9" fillId="5" borderId="33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center"/>
    </xf>
    <xf numFmtId="166" fontId="0" fillId="2" borderId="31" xfId="0" applyNumberFormat="1" applyFill="1" applyBorder="1" applyAlignment="1">
      <alignment horizontal="center"/>
    </xf>
    <xf numFmtId="166" fontId="0" fillId="2" borderId="32" xfId="0" applyNumberFormat="1" applyFill="1" applyBorder="1" applyAlignment="1">
      <alignment horizontal="center"/>
    </xf>
    <xf numFmtId="0" fontId="30" fillId="9" borderId="68" xfId="0" applyFont="1" applyFill="1" applyBorder="1" applyAlignment="1">
      <alignment horizontal="center" vertical="center"/>
    </xf>
    <xf numFmtId="0" fontId="30" fillId="9" borderId="69" xfId="0" applyFont="1" applyFill="1" applyBorder="1" applyAlignment="1">
      <alignment horizontal="center" vertical="center"/>
    </xf>
    <xf numFmtId="0" fontId="30" fillId="9" borderId="70" xfId="0" applyFont="1" applyFill="1" applyBorder="1" applyAlignment="1">
      <alignment horizontal="center" vertical="center"/>
    </xf>
    <xf numFmtId="176" fontId="2" fillId="9" borderId="46" xfId="0" applyNumberFormat="1" applyFont="1" applyFill="1" applyBorder="1" applyAlignment="1">
      <alignment horizontal="left" vertical="center"/>
    </xf>
    <xf numFmtId="176" fontId="33" fillId="2" borderId="53" xfId="0" applyNumberFormat="1" applyFont="1" applyFill="1" applyBorder="1" applyAlignment="1">
      <alignment horizontal="right" vertical="center"/>
    </xf>
    <xf numFmtId="176" fontId="33" fillId="2" borderId="54" xfId="0" applyNumberFormat="1" applyFont="1" applyFill="1" applyBorder="1" applyAlignment="1">
      <alignment horizontal="right" vertical="center"/>
    </xf>
    <xf numFmtId="176" fontId="33" fillId="2" borderId="61" xfId="0" applyNumberFormat="1" applyFont="1" applyFill="1" applyBorder="1" applyAlignment="1">
      <alignment horizontal="right" vertical="center"/>
    </xf>
    <xf numFmtId="176" fontId="33" fillId="2" borderId="62" xfId="0" applyNumberFormat="1" applyFont="1" applyFill="1" applyBorder="1" applyAlignment="1">
      <alignment horizontal="right" vertical="center"/>
    </xf>
    <xf numFmtId="0" fontId="3" fillId="22" borderId="6" xfId="0" applyFont="1" applyFill="1" applyBorder="1" applyAlignment="1">
      <alignment horizontal="center" vertical="center"/>
    </xf>
    <xf numFmtId="0" fontId="3" fillId="22" borderId="45" xfId="0" applyFont="1" applyFill="1" applyBorder="1" applyAlignment="1">
      <alignment horizontal="center" vertical="center"/>
    </xf>
    <xf numFmtId="175" fontId="31" fillId="2" borderId="41" xfId="0" applyNumberFormat="1" applyFont="1" applyFill="1" applyBorder="1" applyAlignment="1">
      <alignment horizontal="center" vertical="center"/>
    </xf>
    <xf numFmtId="175" fontId="31" fillId="2" borderId="42" xfId="0" applyNumberFormat="1" applyFont="1" applyFill="1" applyBorder="1" applyAlignment="1">
      <alignment horizontal="center" vertical="center"/>
    </xf>
    <xf numFmtId="175" fontId="31" fillId="2" borderId="6" xfId="0" applyNumberFormat="1" applyFont="1" applyFill="1" applyBorder="1" applyAlignment="1">
      <alignment horizontal="center" vertical="center"/>
    </xf>
    <xf numFmtId="175" fontId="31" fillId="2" borderId="43" xfId="0" applyNumberFormat="1" applyFont="1" applyFill="1" applyBorder="1" applyAlignment="1">
      <alignment horizontal="center" vertical="center"/>
    </xf>
    <xf numFmtId="175" fontId="31" fillId="2" borderId="44" xfId="0" applyNumberFormat="1" applyFont="1" applyFill="1" applyBorder="1" applyAlignment="1">
      <alignment horizontal="center" vertical="center"/>
    </xf>
    <xf numFmtId="175" fontId="31" fillId="2" borderId="45" xfId="0" applyNumberFormat="1" applyFont="1" applyFill="1" applyBorder="1" applyAlignment="1">
      <alignment horizontal="center" vertical="center"/>
    </xf>
    <xf numFmtId="176" fontId="33" fillId="2" borderId="60" xfId="0" applyNumberFormat="1" applyFont="1" applyFill="1" applyBorder="1" applyAlignment="1">
      <alignment horizontal="right" vertical="center"/>
    </xf>
    <xf numFmtId="176" fontId="33" fillId="2" borderId="57" xfId="0" applyNumberFormat="1" applyFont="1" applyFill="1" applyBorder="1" applyAlignment="1">
      <alignment horizontal="right" vertical="center"/>
    </xf>
    <xf numFmtId="176" fontId="33" fillId="2" borderId="58" xfId="0" applyNumberFormat="1" applyFont="1" applyFill="1" applyBorder="1" applyAlignment="1">
      <alignment horizontal="right" vertical="center"/>
    </xf>
    <xf numFmtId="176" fontId="33" fillId="2" borderId="59" xfId="0" applyNumberFormat="1" applyFont="1" applyFill="1" applyBorder="1" applyAlignment="1">
      <alignment horizontal="right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45" xfId="0" applyFont="1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43" xfId="0" applyFill="1" applyBorder="1" applyAlignment="1">
      <alignment horizontal="center" vertical="center"/>
    </xf>
    <xf numFmtId="0" fontId="0" fillId="2" borderId="44" xfId="0" applyFill="1" applyBorder="1" applyAlignment="1">
      <alignment horizontal="center" vertical="center"/>
    </xf>
    <xf numFmtId="0" fontId="0" fillId="2" borderId="45" xfId="0" applyFill="1" applyBorder="1" applyAlignment="1">
      <alignment horizontal="center" vertical="center"/>
    </xf>
    <xf numFmtId="0" fontId="0" fillId="2" borderId="63" xfId="0" applyFill="1" applyBorder="1" applyAlignment="1">
      <alignment horizontal="center" vertical="center"/>
    </xf>
    <xf numFmtId="0" fontId="0" fillId="2" borderId="64" xfId="0" applyFill="1" applyBorder="1" applyAlignment="1">
      <alignment horizontal="center" vertical="center"/>
    </xf>
    <xf numFmtId="176" fontId="33" fillId="2" borderId="41" xfId="0" applyNumberFormat="1" applyFont="1" applyFill="1" applyBorder="1" applyAlignment="1">
      <alignment horizontal="center" vertical="center"/>
    </xf>
    <xf numFmtId="176" fontId="33" fillId="2" borderId="6" xfId="0" applyNumberFormat="1" applyFont="1" applyFill="1" applyBorder="1" applyAlignment="1">
      <alignment horizontal="center" vertical="center"/>
    </xf>
    <xf numFmtId="176" fontId="33" fillId="2" borderId="43" xfId="0" applyNumberFormat="1" applyFont="1" applyFill="1" applyBorder="1" applyAlignment="1">
      <alignment horizontal="center" vertical="center"/>
    </xf>
    <xf numFmtId="176" fontId="33" fillId="2" borderId="45" xfId="0" applyNumberFormat="1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center" vertical="center"/>
    </xf>
    <xf numFmtId="0" fontId="3" fillId="11" borderId="45" xfId="0" applyFont="1" applyFill="1" applyBorder="1" applyAlignment="1">
      <alignment horizontal="center" vertical="center"/>
    </xf>
    <xf numFmtId="0" fontId="2" fillId="9" borderId="46" xfId="0" applyFont="1" applyFill="1" applyBorder="1" applyAlignment="1">
      <alignment horizontal="left"/>
    </xf>
    <xf numFmtId="0" fontId="2" fillId="9" borderId="47" xfId="0" applyFont="1" applyFill="1" applyBorder="1" applyAlignment="1">
      <alignment horizontal="left"/>
    </xf>
    <xf numFmtId="0" fontId="2" fillId="9" borderId="0" xfId="0" applyFont="1" applyFill="1" applyAlignment="1">
      <alignment horizontal="left"/>
    </xf>
    <xf numFmtId="0" fontId="2" fillId="9" borderId="50" xfId="0" applyFont="1" applyFill="1" applyBorder="1" applyAlignment="1">
      <alignment horizontal="left"/>
    </xf>
    <xf numFmtId="173" fontId="4" fillId="2" borderId="65" xfId="0" applyNumberFormat="1" applyFont="1" applyFill="1" applyBorder="1" applyAlignment="1">
      <alignment horizontal="right" vertical="center"/>
    </xf>
    <xf numFmtId="173" fontId="4" fillId="2" borderId="66" xfId="0" applyNumberFormat="1" applyFont="1" applyFill="1" applyBorder="1" applyAlignment="1">
      <alignment horizontal="right" vertical="center"/>
    </xf>
    <xf numFmtId="173" fontId="4" fillId="2" borderId="56" xfId="0" applyNumberFormat="1" applyFont="1" applyFill="1" applyBorder="1" applyAlignment="1">
      <alignment horizontal="right" vertical="center"/>
    </xf>
    <xf numFmtId="174" fontId="4" fillId="2" borderId="43" xfId="0" applyNumberFormat="1" applyFont="1" applyFill="1" applyBorder="1" applyAlignment="1">
      <alignment horizontal="right" vertical="center"/>
    </xf>
    <xf numFmtId="174" fontId="4" fillId="2" borderId="44" xfId="0" applyNumberFormat="1" applyFont="1" applyFill="1" applyBorder="1" applyAlignment="1">
      <alignment horizontal="right" vertical="center"/>
    </xf>
    <xf numFmtId="174" fontId="4" fillId="2" borderId="45" xfId="0" applyNumberFormat="1" applyFont="1" applyFill="1" applyBorder="1" applyAlignment="1">
      <alignment horizontal="right" vertical="center"/>
    </xf>
    <xf numFmtId="173" fontId="0" fillId="2" borderId="53" xfId="0" applyNumberFormat="1" applyFill="1" applyBorder="1" applyAlignment="1">
      <alignment horizontal="right" vertical="center"/>
    </xf>
    <xf numFmtId="173" fontId="0" fillId="2" borderId="52" xfId="0" applyNumberFormat="1" applyFill="1" applyBorder="1" applyAlignment="1">
      <alignment horizontal="right" vertical="center"/>
    </xf>
    <xf numFmtId="173" fontId="0" fillId="2" borderId="61" xfId="0" applyNumberFormat="1" applyFill="1" applyBorder="1" applyAlignment="1">
      <alignment horizontal="right" vertical="center"/>
    </xf>
    <xf numFmtId="174" fontId="4" fillId="2" borderId="54" xfId="0" applyNumberFormat="1" applyFont="1" applyFill="1" applyBorder="1" applyAlignment="1">
      <alignment horizontal="right" vertical="center"/>
    </xf>
    <xf numFmtId="174" fontId="4" fillId="2" borderId="51" xfId="0" applyNumberFormat="1" applyFont="1" applyFill="1" applyBorder="1" applyAlignment="1">
      <alignment horizontal="right" vertical="center"/>
    </xf>
    <xf numFmtId="174" fontId="4" fillId="2" borderId="62" xfId="0" applyNumberFormat="1" applyFont="1" applyFill="1" applyBorder="1" applyAlignment="1">
      <alignment horizontal="right" vertical="center"/>
    </xf>
    <xf numFmtId="176" fontId="34" fillId="14" borderId="43" xfId="0" applyNumberFormat="1" applyFont="1" applyFill="1" applyBorder="1" applyAlignment="1">
      <alignment horizontal="center" vertical="center"/>
    </xf>
    <xf numFmtId="176" fontId="34" fillId="14" borderId="44" xfId="0" applyNumberFormat="1" applyFont="1" applyFill="1" applyBorder="1" applyAlignment="1">
      <alignment horizontal="center" vertical="center"/>
    </xf>
    <xf numFmtId="176" fontId="34" fillId="14" borderId="45" xfId="0" applyNumberFormat="1" applyFont="1" applyFill="1" applyBorder="1" applyAlignment="1">
      <alignment horizontal="center" vertical="center"/>
    </xf>
    <xf numFmtId="0" fontId="2" fillId="14" borderId="43" xfId="0" applyFont="1" applyFill="1" applyBorder="1" applyAlignment="1">
      <alignment horizontal="center"/>
    </xf>
    <xf numFmtId="0" fontId="2" fillId="14" borderId="45" xfId="0" applyFont="1" applyFill="1" applyBorder="1" applyAlignment="1">
      <alignment horizontal="center"/>
    </xf>
    <xf numFmtId="0" fontId="2" fillId="14" borderId="44" xfId="0" applyFont="1" applyFill="1" applyBorder="1" applyAlignment="1">
      <alignment horizontal="center"/>
    </xf>
    <xf numFmtId="0" fontId="75" fillId="28" borderId="0" xfId="1" applyFont="1" applyFill="1" applyAlignment="1" applyProtection="1">
      <alignment horizontal="center" vertical="center"/>
      <protection locked="0"/>
    </xf>
    <xf numFmtId="176" fontId="20" fillId="23" borderId="43" xfId="0" applyNumberFormat="1" applyFont="1" applyFill="1" applyBorder="1" applyAlignment="1">
      <alignment horizontal="center" vertical="center"/>
    </xf>
    <xf numFmtId="176" fontId="20" fillId="23" borderId="44" xfId="0" applyNumberFormat="1" applyFont="1" applyFill="1" applyBorder="1" applyAlignment="1">
      <alignment horizontal="center" vertical="center"/>
    </xf>
    <xf numFmtId="176" fontId="20" fillId="23" borderId="45" xfId="0" applyNumberFormat="1" applyFont="1" applyFill="1" applyBorder="1" applyAlignment="1">
      <alignment horizontal="center" vertical="center"/>
    </xf>
    <xf numFmtId="176" fontId="20" fillId="22" borderId="43" xfId="0" applyNumberFormat="1" applyFont="1" applyFill="1" applyBorder="1" applyAlignment="1">
      <alignment horizontal="left" vertical="center"/>
    </xf>
    <xf numFmtId="176" fontId="20" fillId="22" borderId="44" xfId="0" applyNumberFormat="1" applyFont="1" applyFill="1" applyBorder="1" applyAlignment="1">
      <alignment horizontal="left" vertical="center"/>
    </xf>
    <xf numFmtId="176" fontId="20" fillId="22" borderId="45" xfId="0" applyNumberFormat="1" applyFont="1" applyFill="1" applyBorder="1" applyAlignment="1">
      <alignment horizontal="left" vertical="center"/>
    </xf>
    <xf numFmtId="176" fontId="20" fillId="3" borderId="49" xfId="0" applyNumberFormat="1" applyFont="1" applyFill="1" applyBorder="1" applyAlignment="1">
      <alignment horizontal="left" vertical="center"/>
    </xf>
    <xf numFmtId="176" fontId="20" fillId="3" borderId="0" xfId="0" applyNumberFormat="1" applyFont="1" applyFill="1" applyAlignment="1">
      <alignment horizontal="left" vertical="center"/>
    </xf>
    <xf numFmtId="176" fontId="20" fillId="3" borderId="50" xfId="0" applyNumberFormat="1" applyFont="1" applyFill="1" applyBorder="1" applyAlignment="1">
      <alignment horizontal="left" vertical="center"/>
    </xf>
    <xf numFmtId="176" fontId="20" fillId="3" borderId="43" xfId="0" applyNumberFormat="1" applyFont="1" applyFill="1" applyBorder="1" applyAlignment="1">
      <alignment horizontal="left" vertical="center"/>
    </xf>
    <xf numFmtId="176" fontId="20" fillId="3" borderId="44" xfId="0" applyNumberFormat="1" applyFont="1" applyFill="1" applyBorder="1" applyAlignment="1">
      <alignment horizontal="left" vertical="center"/>
    </xf>
    <xf numFmtId="176" fontId="20" fillId="3" borderId="45" xfId="0" applyNumberFormat="1" applyFont="1" applyFill="1" applyBorder="1" applyAlignment="1">
      <alignment horizontal="left" vertical="center"/>
    </xf>
    <xf numFmtId="176" fontId="20" fillId="24" borderId="49" xfId="0" applyNumberFormat="1" applyFont="1" applyFill="1" applyBorder="1" applyAlignment="1">
      <alignment horizontal="center" vertical="center"/>
    </xf>
    <xf numFmtId="176" fontId="20" fillId="24" borderId="50" xfId="0" applyNumberFormat="1" applyFont="1" applyFill="1" applyBorder="1" applyAlignment="1">
      <alignment horizontal="center" vertical="center"/>
    </xf>
    <xf numFmtId="176" fontId="20" fillId="24" borderId="43" xfId="0" applyNumberFormat="1" applyFont="1" applyFill="1" applyBorder="1" applyAlignment="1">
      <alignment horizontal="center" vertical="center"/>
    </xf>
    <xf numFmtId="176" fontId="20" fillId="24" borderId="45" xfId="0" applyNumberFormat="1" applyFont="1" applyFill="1" applyBorder="1" applyAlignment="1">
      <alignment horizontal="center" vertical="center"/>
    </xf>
    <xf numFmtId="176" fontId="20" fillId="24" borderId="41" xfId="0" applyNumberFormat="1" applyFont="1" applyFill="1" applyBorder="1" applyAlignment="1">
      <alignment horizontal="left" vertical="center"/>
    </xf>
    <xf numFmtId="176" fontId="20" fillId="24" borderId="6" xfId="0" applyNumberFormat="1" applyFont="1" applyFill="1" applyBorder="1" applyAlignment="1">
      <alignment horizontal="left" vertical="center"/>
    </xf>
    <xf numFmtId="176" fontId="20" fillId="23" borderId="41" xfId="0" applyNumberFormat="1" applyFont="1" applyFill="1" applyBorder="1" applyAlignment="1">
      <alignment horizontal="left" vertical="center"/>
    </xf>
    <xf numFmtId="176" fontId="20" fillId="23" borderId="42" xfId="0" applyNumberFormat="1" applyFont="1" applyFill="1" applyBorder="1" applyAlignment="1">
      <alignment horizontal="left" vertical="center"/>
    </xf>
    <xf numFmtId="176" fontId="20" fillId="23" borderId="6" xfId="0" applyNumberFormat="1" applyFont="1" applyFill="1" applyBorder="1" applyAlignment="1">
      <alignment horizontal="left" vertical="center"/>
    </xf>
    <xf numFmtId="176" fontId="20" fillId="22" borderId="49" xfId="0" applyNumberFormat="1" applyFont="1" applyFill="1" applyBorder="1" applyAlignment="1">
      <alignment horizontal="left" vertical="center"/>
    </xf>
    <xf numFmtId="176" fontId="20" fillId="22" borderId="0" xfId="0" applyNumberFormat="1" applyFont="1" applyFill="1" applyAlignment="1">
      <alignment horizontal="left" vertical="center"/>
    </xf>
    <xf numFmtId="176" fontId="20" fillId="22" borderId="50" xfId="0" applyNumberFormat="1" applyFont="1" applyFill="1" applyBorder="1" applyAlignment="1">
      <alignment horizontal="left" vertical="center"/>
    </xf>
    <xf numFmtId="176" fontId="20" fillId="23" borderId="49" xfId="0" applyNumberFormat="1" applyFont="1" applyFill="1" applyBorder="1" applyAlignment="1">
      <alignment horizontal="center" vertical="center"/>
    </xf>
    <xf numFmtId="176" fontId="20" fillId="23" borderId="0" xfId="0" applyNumberFormat="1" applyFont="1" applyFill="1" applyAlignment="1">
      <alignment horizontal="center" vertical="center"/>
    </xf>
    <xf numFmtId="176" fontId="20" fillId="23" borderId="50" xfId="0" applyNumberFormat="1" applyFont="1" applyFill="1" applyBorder="1" applyAlignment="1">
      <alignment horizontal="center" vertical="center"/>
    </xf>
    <xf numFmtId="176" fontId="36" fillId="22" borderId="42" xfId="0" applyNumberFormat="1" applyFont="1" applyFill="1" applyBorder="1" applyAlignment="1">
      <alignment horizontal="right" vertical="center"/>
    </xf>
    <xf numFmtId="176" fontId="36" fillId="22" borderId="6" xfId="0" applyNumberFormat="1" applyFont="1" applyFill="1" applyBorder="1" applyAlignment="1">
      <alignment horizontal="right" vertical="center"/>
    </xf>
    <xf numFmtId="176" fontId="36" fillId="3" borderId="42" xfId="0" applyNumberFormat="1" applyFont="1" applyFill="1" applyBorder="1" applyAlignment="1">
      <alignment horizontal="right" vertical="center"/>
    </xf>
    <xf numFmtId="176" fontId="36" fillId="3" borderId="6" xfId="0" applyNumberFormat="1" applyFont="1" applyFill="1" applyBorder="1" applyAlignment="1">
      <alignment horizontal="right" vertical="center"/>
    </xf>
    <xf numFmtId="166" fontId="0" fillId="2" borderId="35" xfId="0" applyNumberFormat="1" applyFill="1" applyBorder="1" applyAlignment="1">
      <alignment horizontal="center"/>
    </xf>
    <xf numFmtId="0" fontId="10" fillId="5" borderId="2" xfId="0" applyFont="1" applyFill="1" applyBorder="1" applyAlignment="1">
      <alignment horizontal="center" vertical="center"/>
    </xf>
    <xf numFmtId="167" fontId="24" fillId="9" borderId="67" xfId="0" applyNumberFormat="1" applyFont="1" applyFill="1" applyBorder="1" applyAlignment="1">
      <alignment horizontal="left" vertical="center"/>
    </xf>
    <xf numFmtId="170" fontId="4" fillId="2" borderId="7" xfId="0" applyNumberFormat="1" applyFont="1" applyFill="1" applyBorder="1" applyAlignment="1">
      <alignment horizontal="center"/>
    </xf>
    <xf numFmtId="170" fontId="4" fillId="2" borderId="8" xfId="0" applyNumberFormat="1" applyFont="1" applyFill="1" applyBorder="1" applyAlignment="1">
      <alignment horizontal="center"/>
    </xf>
    <xf numFmtId="170" fontId="13" fillId="9" borderId="7" xfId="0" applyNumberFormat="1" applyFont="1" applyFill="1" applyBorder="1" applyAlignment="1">
      <alignment horizontal="center" vertical="center"/>
    </xf>
    <xf numFmtId="170" fontId="13" fillId="9" borderId="8" xfId="0" applyNumberFormat="1" applyFont="1" applyFill="1" applyBorder="1" applyAlignment="1">
      <alignment horizontal="center" vertical="center"/>
    </xf>
  </cellXfs>
  <cellStyles count="4">
    <cellStyle name="Hiperlink" xfId="1" builtinId="8"/>
    <cellStyle name="Normal" xfId="0" builtinId="0"/>
    <cellStyle name="Normal_Plan1" xfId="3" xr:uid="{AC0EA4A0-477D-4ABB-9E19-D58FDF7688A6}"/>
    <cellStyle name="Normal_Plan1 2" xfId="2" xr:uid="{3F545682-D398-4F51-8A9B-04AC2D281EB7}"/>
  </cellStyles>
  <dxfs count="149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</dxf>
    <dxf>
      <fill>
        <patternFill>
          <bgColor theme="4" tint="0.3999450666829432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</dxf>
    <dxf>
      <fill>
        <patternFill>
          <bgColor theme="4" tint="0.3999450666829432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4" tint="0.3999450666829432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rgb="FF89CD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FF0000"/>
      </font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fgColor theme="0"/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fgColor theme="0"/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rgb="FF89CD99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FF0000"/>
      </font>
      <fill>
        <patternFill>
          <bgColor rgb="FFFFFF00"/>
        </patternFill>
      </fill>
    </dxf>
    <dxf>
      <font>
        <color theme="1" tint="0.499984740745262"/>
      </font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rgb="FF75FFB3"/>
        </patternFill>
      </fill>
    </dxf>
  </dxfs>
  <tableStyles count="1" defaultTableStyle="TableStyleMedium2" defaultPivotStyle="PivotStyleLight16">
    <tableStyle name="Invisible" pivot="0" table="0" count="0" xr9:uid="{4DFF178C-E42B-4596-BA4D-D59C7D79EB64}"/>
  </tableStyles>
  <colors>
    <mruColors>
      <color rgb="FF00B050"/>
      <color rgb="FF00CC66"/>
      <color rgb="FF66FF66"/>
      <color rgb="FF9CB4E0"/>
      <color rgb="FFF0F3FA"/>
      <color rgb="FFEFF9FF"/>
      <color rgb="FF89CD99"/>
      <color rgb="FFE1F4FF"/>
      <color rgb="FFCCECFF"/>
      <color rgb="FFC7B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a.me/5511985008910" TargetMode="External"/><Relationship Id="rId1" Type="http://schemas.openxmlformats.org/officeDocument/2006/relationships/image" Target="../media/image1.png"/><Relationship Id="rId4" Type="http://schemas.openxmlformats.org/officeDocument/2006/relationships/hyperlink" Target="http://wa.me/5511991358071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a.me/5511985008910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hyperlink" Target="#ENVELOPES!A1"/><Relationship Id="rId4" Type="http://schemas.openxmlformats.org/officeDocument/2006/relationships/hyperlink" Target="http://wa.me/5511991358071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jp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85724</xdr:colOff>
      <xdr:row>0</xdr:row>
      <xdr:rowOff>114300</xdr:rowOff>
    </xdr:from>
    <xdr:to>
      <xdr:col>2</xdr:col>
      <xdr:colOff>1504949</xdr:colOff>
      <xdr:row>1</xdr:row>
      <xdr:rowOff>11540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49" y="114300"/>
          <a:ext cx="2181225" cy="640190"/>
        </a:xfrm>
        <a:prstGeom prst="rect">
          <a:avLst/>
        </a:prstGeom>
      </xdr:spPr>
    </xdr:pic>
    <xdr:clientData/>
  </xdr:twoCellAnchor>
  <xdr:oneCellAnchor>
    <xdr:from>
      <xdr:col>2</xdr:col>
      <xdr:colOff>2724150</xdr:colOff>
      <xdr:row>0</xdr:row>
      <xdr:rowOff>371475</xdr:rowOff>
    </xdr:from>
    <xdr:ext cx="3486150" cy="468013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800475" y="371475"/>
          <a:ext cx="3486150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Bem-vindo</a:t>
          </a:r>
          <a:r>
            <a:rPr lang="pt-BR" sz="2400" b="0" cap="none" spc="0" baseline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a Multi Caixas</a:t>
          </a:r>
          <a:endParaRPr lang="pt-BR" sz="2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>
    <xdr:from>
      <xdr:col>5</xdr:col>
      <xdr:colOff>1</xdr:colOff>
      <xdr:row>11</xdr:row>
      <xdr:rowOff>200025</xdr:rowOff>
    </xdr:from>
    <xdr:to>
      <xdr:col>7</xdr:col>
      <xdr:colOff>447675</xdr:colOff>
      <xdr:row>13</xdr:row>
      <xdr:rowOff>76200</xdr:rowOff>
    </xdr:to>
    <xdr:sp macro="[0]!AGERAL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 flipH="1">
          <a:off x="5057776" y="3324225"/>
          <a:ext cx="1666874" cy="352425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  <a:latin typeface="+mn-lt"/>
            </a:rPr>
            <a:t>COMEÇAR</a:t>
          </a:r>
        </a:p>
      </xdr:txBody>
    </xdr:sp>
    <xdr:clientData/>
  </xdr:twoCellAnchor>
  <xdr:twoCellAnchor editAs="oneCell">
    <xdr:from>
      <xdr:col>11</xdr:col>
      <xdr:colOff>1</xdr:colOff>
      <xdr:row>13</xdr:row>
      <xdr:rowOff>38099</xdr:rowOff>
    </xdr:from>
    <xdr:to>
      <xdr:col>11</xdr:col>
      <xdr:colOff>187075</xdr:colOff>
      <xdr:row>13</xdr:row>
      <xdr:rowOff>226028</xdr:rowOff>
    </xdr:to>
    <xdr:pic>
      <xdr:nvPicPr>
        <xdr:cNvPr id="6" name="Imagem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676" y="3629024"/>
          <a:ext cx="187074" cy="18792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</xdr:row>
      <xdr:rowOff>38100</xdr:rowOff>
    </xdr:from>
    <xdr:to>
      <xdr:col>11</xdr:col>
      <xdr:colOff>187074</xdr:colOff>
      <xdr:row>14</xdr:row>
      <xdr:rowOff>226029</xdr:rowOff>
    </xdr:to>
    <xdr:pic>
      <xdr:nvPicPr>
        <xdr:cNvPr id="7" name="Image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675" y="3857625"/>
          <a:ext cx="187074" cy="1879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16</xdr:row>
      <xdr:rowOff>57150</xdr:rowOff>
    </xdr:from>
    <xdr:to>
      <xdr:col>1</xdr:col>
      <xdr:colOff>2502430</xdr:colOff>
      <xdr:row>18</xdr:row>
      <xdr:rowOff>200025</xdr:rowOff>
    </xdr:to>
    <xdr:pic>
      <xdr:nvPicPr>
        <xdr:cNvPr id="12" name="Imagem 11" descr="Uma imagem contendo comida, desenho&#10;&#10;Descrição gerada automaticamente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476750"/>
          <a:ext cx="2369080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1095376</xdr:colOff>
      <xdr:row>16</xdr:row>
      <xdr:rowOff>95249</xdr:rowOff>
    </xdr:from>
    <xdr:to>
      <xdr:col>3</xdr:col>
      <xdr:colOff>1282450</xdr:colOff>
      <xdr:row>17</xdr:row>
      <xdr:rowOff>6953</xdr:rowOff>
    </xdr:to>
    <xdr:pic>
      <xdr:nvPicPr>
        <xdr:cNvPr id="18" name="Imagem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1" y="4514849"/>
          <a:ext cx="187074" cy="187929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1095375</xdr:colOff>
      <xdr:row>17</xdr:row>
      <xdr:rowOff>85725</xdr:rowOff>
    </xdr:from>
    <xdr:to>
      <xdr:col>3</xdr:col>
      <xdr:colOff>1282449</xdr:colOff>
      <xdr:row>17</xdr:row>
      <xdr:rowOff>273654</xdr:rowOff>
    </xdr:to>
    <xdr:pic>
      <xdr:nvPicPr>
        <xdr:cNvPr id="20" name="Imagem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0" y="4781550"/>
          <a:ext cx="187074" cy="18792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85725</xdr:rowOff>
    </xdr:from>
    <xdr:to>
      <xdr:col>13</xdr:col>
      <xdr:colOff>438150</xdr:colOff>
      <xdr:row>17</xdr:row>
      <xdr:rowOff>275213</xdr:rowOff>
    </xdr:to>
    <xdr:pic>
      <xdr:nvPicPr>
        <xdr:cNvPr id="2" name="Imagem 1" descr="Imagem em branco e preto&#10;&#10;Descrição gerada automaticamente com confiança médi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70B8ACE-B4A9-4F9D-9F2B-EF92CA6A2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5" y="2495550"/>
          <a:ext cx="5295900" cy="2866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581025</xdr:colOff>
      <xdr:row>2</xdr:row>
      <xdr:rowOff>66675</xdr:rowOff>
    </xdr:from>
    <xdr:to>
      <xdr:col>10</xdr:col>
      <xdr:colOff>253441</xdr:colOff>
      <xdr:row>4</xdr:row>
      <xdr:rowOff>189103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35FF220-7F25-4F54-8498-DF0908141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247650"/>
          <a:ext cx="1386916" cy="722503"/>
        </a:xfrm>
        <a:prstGeom prst="rect">
          <a:avLst/>
        </a:prstGeom>
      </xdr:spPr>
    </xdr:pic>
    <xdr:clientData/>
  </xdr:twoCellAnchor>
  <xdr:oneCellAnchor>
    <xdr:from>
      <xdr:col>2</xdr:col>
      <xdr:colOff>295275</xdr:colOff>
      <xdr:row>2</xdr:row>
      <xdr:rowOff>447675</xdr:rowOff>
    </xdr:from>
    <xdr:ext cx="1924050" cy="361950"/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E8C47060-0D40-4A8E-93D2-9E22A995D53C}"/>
            </a:ext>
          </a:extLst>
        </xdr:cNvPr>
        <xdr:cNvSpPr/>
      </xdr:nvSpPr>
      <xdr:spPr>
        <a:xfrm>
          <a:off x="514350" y="628650"/>
          <a:ext cx="1924050" cy="361950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24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Envelopes</a:t>
          </a:r>
        </a:p>
      </xdr:txBody>
    </xdr:sp>
    <xdr:clientData/>
  </xdr:oneCellAnchor>
  <xdr:oneCellAnchor>
    <xdr:from>
      <xdr:col>1</xdr:col>
      <xdr:colOff>0</xdr:colOff>
      <xdr:row>23</xdr:row>
      <xdr:rowOff>28575</xdr:rowOff>
    </xdr:from>
    <xdr:ext cx="5934075" cy="468013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ECF1F11A-C1F3-45C8-BA75-BBB90C30EB70}"/>
            </a:ext>
          </a:extLst>
        </xdr:cNvPr>
        <xdr:cNvSpPr/>
      </xdr:nvSpPr>
      <xdr:spPr>
        <a:xfrm>
          <a:off x="0" y="4591050"/>
          <a:ext cx="5934075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Envelopes Danfe demais embalagens</a:t>
          </a:r>
          <a:r>
            <a:rPr lang="pt-BR" sz="2400" b="0" cap="none" spc="0" baseline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plasticas</a:t>
          </a:r>
          <a:endParaRPr lang="pt-BR" sz="24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14</xdr:col>
      <xdr:colOff>552450</xdr:colOff>
      <xdr:row>2</xdr:row>
      <xdr:rowOff>28576</xdr:rowOff>
    </xdr:from>
    <xdr:to>
      <xdr:col>18</xdr:col>
      <xdr:colOff>457200</xdr:colOff>
      <xdr:row>4</xdr:row>
      <xdr:rowOff>304800</xdr:rowOff>
    </xdr:to>
    <xdr:pic>
      <xdr:nvPicPr>
        <xdr:cNvPr id="9" name="Imagem 8" descr="Imagem em preto e branco&#10;&#10;Descrição gerada automaticamente com confiança média">
          <a:extLst>
            <a:ext uri="{FF2B5EF4-FFF2-40B4-BE49-F238E27FC236}">
              <a16:creationId xmlns:a16="http://schemas.microsoft.com/office/drawing/2014/main" id="{E3173DFF-737C-D668-A799-72AA0C8F6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209551"/>
          <a:ext cx="1619250" cy="8762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518904</xdr:colOff>
      <xdr:row>15</xdr:row>
      <xdr:rowOff>177623</xdr:rowOff>
    </xdr:from>
    <xdr:to>
      <xdr:col>25</xdr:col>
      <xdr:colOff>294446</xdr:colOff>
      <xdr:row>30</xdr:row>
      <xdr:rowOff>124419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958E7F7-A532-2DE4-A8E8-D4575A12D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5504" y="3378023"/>
          <a:ext cx="1718642" cy="2947171"/>
        </a:xfrm>
        <a:prstGeom prst="rect">
          <a:avLst/>
        </a:prstGeom>
      </xdr:spPr>
    </xdr:pic>
    <xdr:clientData/>
  </xdr:twoCellAnchor>
  <xdr:twoCellAnchor editAs="oneCell">
    <xdr:from>
      <xdr:col>28</xdr:col>
      <xdr:colOff>7455</xdr:colOff>
      <xdr:row>15</xdr:row>
      <xdr:rowOff>123825</xdr:rowOff>
    </xdr:from>
    <xdr:to>
      <xdr:col>29</xdr:col>
      <xdr:colOff>1254341</xdr:colOff>
      <xdr:row>30</xdr:row>
      <xdr:rowOff>1234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395DF0C3-A1F7-1215-01E1-211724047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3555" y="3324225"/>
          <a:ext cx="2113661" cy="2877784"/>
        </a:xfrm>
        <a:prstGeom prst="rect">
          <a:avLst/>
        </a:prstGeom>
      </xdr:spPr>
    </xdr:pic>
    <xdr:clientData/>
  </xdr:twoCellAnchor>
  <xdr:twoCellAnchor editAs="oneCell">
    <xdr:from>
      <xdr:col>14</xdr:col>
      <xdr:colOff>98562</xdr:colOff>
      <xdr:row>16</xdr:row>
      <xdr:rowOff>3312</xdr:rowOff>
    </xdr:from>
    <xdr:to>
      <xdr:col>20</xdr:col>
      <xdr:colOff>225278</xdr:colOff>
      <xdr:row>30</xdr:row>
      <xdr:rowOff>182754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1963FCF6-0C26-EC3A-AFC5-CBF568101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8612" y="3403737"/>
          <a:ext cx="2146016" cy="297979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15</xdr:row>
      <xdr:rowOff>133350</xdr:rowOff>
    </xdr:from>
    <xdr:to>
      <xdr:col>5</xdr:col>
      <xdr:colOff>330729</xdr:colOff>
      <xdr:row>30</xdr:row>
      <xdr:rowOff>134552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DFA2F185-2141-F968-8186-109517DF2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3333750"/>
          <a:ext cx="2435753" cy="30015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</xdr:colOff>
      <xdr:row>2</xdr:row>
      <xdr:rowOff>9525</xdr:rowOff>
    </xdr:from>
    <xdr:to>
      <xdr:col>17</xdr:col>
      <xdr:colOff>485774</xdr:colOff>
      <xdr:row>5</xdr:row>
      <xdr:rowOff>180975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8420099" y="504825"/>
          <a:ext cx="1685925" cy="819150"/>
        </a:xfrm>
        <a:prstGeom prst="rect">
          <a:avLst/>
        </a:prstGeom>
        <a:solidFill>
          <a:schemeClr val="accent2">
            <a:alpha val="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361950</xdr:colOff>
      <xdr:row>2</xdr:row>
      <xdr:rowOff>28575</xdr:rowOff>
    </xdr:from>
    <xdr:to>
      <xdr:col>1</xdr:col>
      <xdr:colOff>1181604</xdr:colOff>
      <xdr:row>5</xdr:row>
      <xdr:rowOff>180975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628650"/>
          <a:ext cx="819654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247651</xdr:colOff>
      <xdr:row>2</xdr:row>
      <xdr:rowOff>28575</xdr:rowOff>
    </xdr:from>
    <xdr:to>
      <xdr:col>4</xdr:col>
      <xdr:colOff>371050</xdr:colOff>
      <xdr:row>5</xdr:row>
      <xdr:rowOff>198706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628650"/>
          <a:ext cx="828249" cy="817831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2</xdr:row>
      <xdr:rowOff>9525</xdr:rowOff>
    </xdr:from>
    <xdr:to>
      <xdr:col>11</xdr:col>
      <xdr:colOff>523875</xdr:colOff>
      <xdr:row>5</xdr:row>
      <xdr:rowOff>180470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504825"/>
          <a:ext cx="904875" cy="818645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228601</xdr:colOff>
      <xdr:row>2</xdr:row>
      <xdr:rowOff>38101</xdr:rowOff>
    </xdr:from>
    <xdr:to>
      <xdr:col>8</xdr:col>
      <xdr:colOff>415352</xdr:colOff>
      <xdr:row>5</xdr:row>
      <xdr:rowOff>200025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1" y="638176"/>
          <a:ext cx="882076" cy="809624"/>
        </a:xfrm>
        <a:prstGeom prst="rect">
          <a:avLst/>
        </a:prstGeom>
      </xdr:spPr>
    </xdr:pic>
    <xdr:clientData/>
  </xdr:twoCellAnchor>
  <xdr:oneCellAnchor>
    <xdr:from>
      <xdr:col>12</xdr:col>
      <xdr:colOff>447675</xdr:colOff>
      <xdr:row>0</xdr:row>
      <xdr:rowOff>28575</xdr:rowOff>
    </xdr:from>
    <xdr:ext cx="2066924" cy="468013"/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8105775" y="28575"/>
          <a:ext cx="2066924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r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Fitas</a:t>
          </a:r>
          <a:r>
            <a:rPr lang="pt-BR" sz="2400" b="0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adesivas</a:t>
          </a:r>
          <a:endParaRPr lang="pt-BR" sz="2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114301</xdr:colOff>
      <xdr:row>0</xdr:row>
      <xdr:rowOff>0</xdr:rowOff>
    </xdr:from>
    <xdr:ext cx="1971674" cy="468013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6734176" y="0"/>
          <a:ext cx="1971674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r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Plastico Bolha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567691</xdr:colOff>
      <xdr:row>2</xdr:row>
      <xdr:rowOff>89535</xdr:rowOff>
    </xdr:from>
    <xdr:to>
      <xdr:col>3</xdr:col>
      <xdr:colOff>349003</xdr:colOff>
      <xdr:row>5</xdr:row>
      <xdr:rowOff>114300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55639" y="268412"/>
          <a:ext cx="596265" cy="1000512"/>
        </a:xfrm>
        <a:prstGeom prst="rect">
          <a:avLst/>
        </a:prstGeom>
      </xdr:spPr>
    </xdr:pic>
    <xdr:clientData/>
  </xdr:twoCellAnchor>
  <xdr:twoCellAnchor editAs="oneCell">
    <xdr:from>
      <xdr:col>5</xdr:col>
      <xdr:colOff>360726</xdr:colOff>
      <xdr:row>2</xdr:row>
      <xdr:rowOff>77427</xdr:rowOff>
    </xdr:from>
    <xdr:to>
      <xdr:col>7</xdr:col>
      <xdr:colOff>510346</xdr:colOff>
      <xdr:row>5</xdr:row>
      <xdr:rowOff>114300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993737" y="63916"/>
          <a:ext cx="608373" cy="1397395"/>
        </a:xfrm>
        <a:prstGeom prst="rect">
          <a:avLst/>
        </a:prstGeom>
      </xdr:spPr>
    </xdr:pic>
    <xdr:clientData/>
  </xdr:twoCellAnchor>
  <xdr:twoCellAnchor>
    <xdr:from>
      <xdr:col>0</xdr:col>
      <xdr:colOff>393935</xdr:colOff>
      <xdr:row>55</xdr:row>
      <xdr:rowOff>32147</xdr:rowOff>
    </xdr:from>
    <xdr:to>
      <xdr:col>0</xdr:col>
      <xdr:colOff>717935</xdr:colOff>
      <xdr:row>56</xdr:row>
      <xdr:rowOff>165647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35" y="7820235"/>
          <a:ext cx="324000" cy="32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393935</xdr:colOff>
      <xdr:row>58</xdr:row>
      <xdr:rowOff>30956</xdr:rowOff>
    </xdr:from>
    <xdr:to>
      <xdr:col>0</xdr:col>
      <xdr:colOff>717935</xdr:colOff>
      <xdr:row>59</xdr:row>
      <xdr:rowOff>164456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35" y="8300897"/>
          <a:ext cx="324000" cy="32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393935</xdr:colOff>
      <xdr:row>61</xdr:row>
      <xdr:rowOff>29765</xdr:rowOff>
    </xdr:from>
    <xdr:to>
      <xdr:col>0</xdr:col>
      <xdr:colOff>717935</xdr:colOff>
      <xdr:row>62</xdr:row>
      <xdr:rowOff>163265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35" y="8781559"/>
          <a:ext cx="324000" cy="32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393935</xdr:colOff>
      <xdr:row>64</xdr:row>
      <xdr:rowOff>28574</xdr:rowOff>
    </xdr:from>
    <xdr:to>
      <xdr:col>0</xdr:col>
      <xdr:colOff>717935</xdr:colOff>
      <xdr:row>65</xdr:row>
      <xdr:rowOff>162074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35" y="9262221"/>
          <a:ext cx="324000" cy="32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393935</xdr:colOff>
      <xdr:row>67</xdr:row>
      <xdr:rowOff>27383</xdr:rowOff>
    </xdr:from>
    <xdr:to>
      <xdr:col>0</xdr:col>
      <xdr:colOff>717935</xdr:colOff>
      <xdr:row>68</xdr:row>
      <xdr:rowOff>160883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35" y="9742883"/>
          <a:ext cx="324000" cy="32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393935</xdr:colOff>
      <xdr:row>70</xdr:row>
      <xdr:rowOff>26193</xdr:rowOff>
    </xdr:from>
    <xdr:to>
      <xdr:col>0</xdr:col>
      <xdr:colOff>717935</xdr:colOff>
      <xdr:row>71</xdr:row>
      <xdr:rowOff>159693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35" y="10223546"/>
          <a:ext cx="324000" cy="32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11</xdr:col>
      <xdr:colOff>419006</xdr:colOff>
      <xdr:row>3</xdr:row>
      <xdr:rowOff>22528</xdr:rowOff>
    </xdr:from>
    <xdr:to>
      <xdr:col>12</xdr:col>
      <xdr:colOff>362079</xdr:colOff>
      <xdr:row>5</xdr:row>
      <xdr:rowOff>3701</xdr:rowOff>
    </xdr:to>
    <xdr:grpSp>
      <xdr:nvGrpSpPr>
        <xdr:cNvPr id="73" name="Agrupar 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GrpSpPr/>
      </xdr:nvGrpSpPr>
      <xdr:grpSpPr>
        <a:xfrm>
          <a:off x="6010181" y="670228"/>
          <a:ext cx="1314673" cy="362173"/>
          <a:chOff x="6025149" y="594028"/>
          <a:chExt cx="1314673" cy="362173"/>
        </a:xfrm>
      </xdr:grpSpPr>
      <xdr:grpSp>
        <xdr:nvGrpSpPr>
          <xdr:cNvPr id="72" name="Agrupar 71">
            <a:extLst>
              <a:ext uri="{FF2B5EF4-FFF2-40B4-BE49-F238E27FC236}">
                <a16:creationId xmlns:a16="http://schemas.microsoft.com/office/drawing/2014/main" id="{00000000-0008-0000-0700-000048000000}"/>
              </a:ext>
            </a:extLst>
          </xdr:cNvPr>
          <xdr:cNvGrpSpPr/>
        </xdr:nvGrpSpPr>
        <xdr:grpSpPr>
          <a:xfrm>
            <a:off x="6025149" y="594028"/>
            <a:ext cx="1124173" cy="362173"/>
            <a:chOff x="6017847" y="594028"/>
            <a:chExt cx="1123244" cy="362173"/>
          </a:xfrm>
        </xdr:grpSpPr>
        <xdr:pic>
          <xdr:nvPicPr>
            <xdr:cNvPr id="65" name="Imagem 64">
              <a:extLst>
                <a:ext uri="{FF2B5EF4-FFF2-40B4-BE49-F238E27FC236}">
                  <a16:creationId xmlns:a16="http://schemas.microsoft.com/office/drawing/2014/main" id="{00000000-0008-0000-0700-00004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5400000">
              <a:off x="6017847" y="594028"/>
              <a:ext cx="362173" cy="362173"/>
            </a:xfrm>
            <a:prstGeom prst="rect">
              <a:avLst/>
            </a:prstGeom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</xdr:pic>
        <xdr:pic>
          <xdr:nvPicPr>
            <xdr:cNvPr id="66" name="Imagem 65">
              <a:extLst>
                <a:ext uri="{FF2B5EF4-FFF2-40B4-BE49-F238E27FC236}">
                  <a16:creationId xmlns:a16="http://schemas.microsoft.com/office/drawing/2014/main" id="{00000000-0008-0000-0700-00004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5400000">
              <a:off x="6208347" y="594028"/>
              <a:ext cx="362173" cy="362173"/>
            </a:xfrm>
            <a:prstGeom prst="rect">
              <a:avLst/>
            </a:prstGeom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</xdr:pic>
        <xdr:pic>
          <xdr:nvPicPr>
            <xdr:cNvPr id="67" name="Imagem 66">
              <a:extLst>
                <a:ext uri="{FF2B5EF4-FFF2-40B4-BE49-F238E27FC236}">
                  <a16:creationId xmlns:a16="http://schemas.microsoft.com/office/drawing/2014/main" id="{00000000-0008-0000-0700-00004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5400000">
              <a:off x="6398847" y="594028"/>
              <a:ext cx="362173" cy="362173"/>
            </a:xfrm>
            <a:prstGeom prst="rect">
              <a:avLst/>
            </a:prstGeom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</xdr:pic>
        <xdr:pic>
          <xdr:nvPicPr>
            <xdr:cNvPr id="68" name="Imagem 67">
              <a:extLst>
                <a:ext uri="{FF2B5EF4-FFF2-40B4-BE49-F238E27FC236}">
                  <a16:creationId xmlns:a16="http://schemas.microsoft.com/office/drawing/2014/main" id="{00000000-0008-0000-0700-00004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5400000">
              <a:off x="6589347" y="594028"/>
              <a:ext cx="362173" cy="362173"/>
            </a:xfrm>
            <a:prstGeom prst="rect">
              <a:avLst/>
            </a:prstGeom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</xdr:pic>
        <xdr:pic>
          <xdr:nvPicPr>
            <xdr:cNvPr id="69" name="Imagem 68">
              <a:extLst>
                <a:ext uri="{FF2B5EF4-FFF2-40B4-BE49-F238E27FC236}">
                  <a16:creationId xmlns:a16="http://schemas.microsoft.com/office/drawing/2014/main" id="{00000000-0008-0000-0700-00004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5400000">
              <a:off x="6779382" y="594493"/>
              <a:ext cx="362173" cy="361244"/>
            </a:xfrm>
            <a:prstGeom prst="rect">
              <a:avLst/>
            </a:prstGeom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</xdr:pic>
      </xdr:grpSp>
      <xdr:pic>
        <xdr:nvPicPr>
          <xdr:cNvPr id="70" name="Imagem 69">
            <a:extLst>
              <a:ext uri="{FF2B5EF4-FFF2-40B4-BE49-F238E27FC236}">
                <a16:creationId xmlns:a16="http://schemas.microsoft.com/office/drawing/2014/main" id="{00000000-0008-0000-07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6977649" y="594028"/>
            <a:ext cx="362173" cy="362173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oneCellAnchor>
    <xdr:from>
      <xdr:col>3</xdr:col>
      <xdr:colOff>161925</xdr:colOff>
      <xdr:row>0</xdr:row>
      <xdr:rowOff>0</xdr:rowOff>
    </xdr:from>
    <xdr:ext cx="4114799" cy="468013"/>
    <xdr:sp macro="" textlink="">
      <xdr:nvSpPr>
        <xdr:cNvPr id="36" name="Retângulo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/>
      </xdr:nvSpPr>
      <xdr:spPr>
        <a:xfrm>
          <a:off x="2266950" y="0"/>
          <a:ext cx="4114799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C</a:t>
          </a:r>
          <a:r>
            <a:rPr lang="pt-BR" sz="2400" b="0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lique na imagem para filtrar</a:t>
          </a:r>
          <a:endParaRPr lang="pt-BR" sz="2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13</xdr:col>
      <xdr:colOff>66675</xdr:colOff>
      <xdr:row>0</xdr:row>
      <xdr:rowOff>0</xdr:rowOff>
    </xdr:from>
    <xdr:ext cx="2505075" cy="468013"/>
    <xdr:sp macro="" textlink="">
      <xdr:nvSpPr>
        <xdr:cNvPr id="37" name="Retângulo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/>
      </xdr:nvSpPr>
      <xdr:spPr>
        <a:xfrm>
          <a:off x="7915275" y="0"/>
          <a:ext cx="2505075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r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Etiquetas</a:t>
          </a:r>
          <a:r>
            <a:rPr lang="pt-BR" sz="2400" b="0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Adesivas</a:t>
          </a:r>
          <a:endParaRPr lang="pt-BR" sz="2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571501</xdr:colOff>
      <xdr:row>0</xdr:row>
      <xdr:rowOff>0</xdr:rowOff>
    </xdr:from>
    <xdr:ext cx="1962150" cy="46801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972051" y="0"/>
          <a:ext cx="1962150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Papel</a:t>
          </a:r>
          <a:r>
            <a:rPr lang="pt-BR" sz="2400" b="0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Pardo</a:t>
          </a:r>
          <a:endParaRPr lang="pt-BR" sz="2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7</xdr:col>
      <xdr:colOff>57150</xdr:colOff>
      <xdr:row>23</xdr:row>
      <xdr:rowOff>9525</xdr:rowOff>
    </xdr:from>
    <xdr:ext cx="2505075" cy="468013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4343400" y="2781300"/>
          <a:ext cx="2505075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Papelão Ondulado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885825</xdr:colOff>
      <xdr:row>0</xdr:row>
      <xdr:rowOff>0</xdr:rowOff>
    </xdr:from>
    <xdr:ext cx="4114799" cy="46801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3848100" y="0"/>
          <a:ext cx="4114799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l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PROTEÇÃO E PREENCHI</a:t>
          </a:r>
          <a:r>
            <a:rPr lang="pt-BR" sz="2400" b="0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MENTO</a:t>
          </a:r>
          <a:endParaRPr lang="pt-BR" sz="2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8</xdr:col>
      <xdr:colOff>923925</xdr:colOff>
      <xdr:row>18</xdr:row>
      <xdr:rowOff>161925</xdr:rowOff>
    </xdr:from>
    <xdr:ext cx="1514475" cy="468013"/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6419850" y="1885950"/>
          <a:ext cx="1514475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r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ESTILETES</a:t>
          </a:r>
        </a:p>
      </xdr:txBody>
    </xdr:sp>
    <xdr:clientData/>
  </xdr:oneCellAnchor>
  <xdr:oneCellAnchor>
    <xdr:from>
      <xdr:col>8</xdr:col>
      <xdr:colOff>895350</xdr:colOff>
      <xdr:row>31</xdr:row>
      <xdr:rowOff>171450</xdr:rowOff>
    </xdr:from>
    <xdr:ext cx="1743076" cy="468013"/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391275" y="3810000"/>
          <a:ext cx="1743076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l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PAPELARIA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place/Multi+Caixas/@-23.5105545,-46.7801281,12z/data=!4m9!1m2!2m1!1sMulti+Caixas!3m5!1s0x94ce588b5b3824eb:0x6603bd525ebc2c8c!8m2!3d-23.5134744!4d-46.7206394!15sCgxNdWx0aSBDYWl4YXNaDiIMbXVsdGkgY2FpeGFzkgETbW92aW5nX3N1cHBseV9zdG9yZQ" TargetMode="External"/><Relationship Id="rId2" Type="http://schemas.openxmlformats.org/officeDocument/2006/relationships/hyperlink" Target="mailto:cesar.cxs@gmail.com" TargetMode="External"/><Relationship Id="rId1" Type="http://schemas.openxmlformats.org/officeDocument/2006/relationships/hyperlink" Target="mailto:rogerio@multicaixas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place/Multi+Caixas/@-23.5105545,-46.7801281,12z/data=!4m9!1m2!2m1!1sMulti+Caixas!3m5!1s0x94ce588b5b3824eb:0x6603bd525ebc2c8c!8m2!3d-23.5134744!4d-46.7206394!15sCgxNdWx0aSBDYWl4YXNaDiIMbXVsdGkgY2FpeGFzkgETbW92aW5nX3N1cHBseV9zdG9yZQ" TargetMode="External"/><Relationship Id="rId2" Type="http://schemas.openxmlformats.org/officeDocument/2006/relationships/hyperlink" Target="mailto:cesar.cxs@gmail.com" TargetMode="External"/><Relationship Id="rId1" Type="http://schemas.openxmlformats.org/officeDocument/2006/relationships/hyperlink" Target="mailto:rogerio@multicaixas.com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multicaixas.com/mudanca/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multicaixas.com/foto/n/423624organizadora.jpeg" TargetMode="External"/><Relationship Id="rId21" Type="http://schemas.openxmlformats.org/officeDocument/2006/relationships/hyperlink" Target="https://multicaixas.com/foto/n/161102ned.jpg" TargetMode="External"/><Relationship Id="rId42" Type="http://schemas.openxmlformats.org/officeDocument/2006/relationships/hyperlink" Target="https://multicaixas.com/foto/n/201205_nmd.jpg" TargetMode="External"/><Relationship Id="rId63" Type="http://schemas.openxmlformats.org/officeDocument/2006/relationships/hyperlink" Target="https://www.multicaixas.com/foto/u/colgate-enxaguante.jpeg" TargetMode="External"/><Relationship Id="rId84" Type="http://schemas.openxmlformats.org/officeDocument/2006/relationships/hyperlink" Target="https://multicaixas.com/foto/n/302011-corr3-simp.jpeg" TargetMode="External"/><Relationship Id="rId138" Type="http://schemas.openxmlformats.org/officeDocument/2006/relationships/hyperlink" Target="https://www.multicaixas.com/foto/u/bionatus_69.jpg" TargetMode="External"/><Relationship Id="rId107" Type="http://schemas.openxmlformats.org/officeDocument/2006/relationships/hyperlink" Target="https://www.multicaixas.com/foto/u/sina382824.jpeg" TargetMode="External"/><Relationship Id="rId11" Type="http://schemas.openxmlformats.org/officeDocument/2006/relationships/hyperlink" Target="https://multicaixas.com/foto/n/121210nad.jpg" TargetMode="External"/><Relationship Id="rId32" Type="http://schemas.openxmlformats.org/officeDocument/2006/relationships/hyperlink" Target="https://multicaixas.com/foto/n/180735nmd.jpeg" TargetMode="External"/><Relationship Id="rId37" Type="http://schemas.openxmlformats.org/officeDocument/2006/relationships/hyperlink" Target="https://multicaixas.com/foto/n/191103nmd.jpeg" TargetMode="External"/><Relationship Id="rId53" Type="http://schemas.openxmlformats.org/officeDocument/2006/relationships/hyperlink" Target="https://multicaixas.com/foto/n/202006-p-congp.jpeg" TargetMode="External"/><Relationship Id="rId58" Type="http://schemas.openxmlformats.org/officeDocument/2006/relationships/hyperlink" Target="https://multicaixas.com/foto/n/221006nmd.jpeg" TargetMode="External"/><Relationship Id="rId74" Type="http://schemas.openxmlformats.org/officeDocument/2006/relationships/hyperlink" Target="https://multicaixas.com/foto/n/261415nmd.jpeg" TargetMode="External"/><Relationship Id="rId79" Type="http://schemas.openxmlformats.org/officeDocument/2006/relationships/hyperlink" Target="https://multicaixas.com/foto/n/281703nad.jpeg" TargetMode="External"/><Relationship Id="rId102" Type="http://schemas.openxmlformats.org/officeDocument/2006/relationships/hyperlink" Target="https://multicaixas.com/foto/n/352822nmd.jpeg" TargetMode="External"/><Relationship Id="rId123" Type="http://schemas.openxmlformats.org/officeDocument/2006/relationships/hyperlink" Target="https://multicaixas.com/foto/n/divisoria_copo.jpg" TargetMode="External"/><Relationship Id="rId128" Type="http://schemas.openxmlformats.org/officeDocument/2006/relationships/hyperlink" Target="https://multicaixas.com/foto/n/503627nmd.jpeg" TargetMode="External"/><Relationship Id="rId5" Type="http://schemas.openxmlformats.org/officeDocument/2006/relationships/hyperlink" Target="https://multicaixas.com/foto/n/0808104nmd.jpeg" TargetMode="External"/><Relationship Id="rId90" Type="http://schemas.openxmlformats.org/officeDocument/2006/relationships/hyperlink" Target="https://multicaixas.com/foto/n/312104nad.jpeg" TargetMode="External"/><Relationship Id="rId95" Type="http://schemas.openxmlformats.org/officeDocument/2006/relationships/hyperlink" Target="https://multicaixas.com/foto/n/323203nad.jpg" TargetMode="External"/><Relationship Id="rId22" Type="http://schemas.openxmlformats.org/officeDocument/2006/relationships/hyperlink" Target="https://multicaixas.com/foto/n/161103nad.jpeg" TargetMode="External"/><Relationship Id="rId27" Type="http://schemas.openxmlformats.org/officeDocument/2006/relationships/hyperlink" Target="https://multicaixas.com/foto/n/161108nmd.jpeg" TargetMode="External"/><Relationship Id="rId43" Type="http://schemas.openxmlformats.org/officeDocument/2006/relationships/hyperlink" Target="https://multicaixas.com/foto/n/201207_nmd.png" TargetMode="External"/><Relationship Id="rId48" Type="http://schemas.openxmlformats.org/officeDocument/2006/relationships/hyperlink" Target="https://multicaixas.com/foto/n/201515nmd.jpeg" TargetMode="External"/><Relationship Id="rId64" Type="http://schemas.openxmlformats.org/officeDocument/2006/relationships/hyperlink" Target="https://multicaixas.com/foto/n/241503nmd.jpeg" TargetMode="External"/><Relationship Id="rId69" Type="http://schemas.openxmlformats.org/officeDocument/2006/relationships/hyperlink" Target="https://www.multicaixas.com/foto/u/colgate251410.jpeg" TargetMode="External"/><Relationship Id="rId113" Type="http://schemas.openxmlformats.org/officeDocument/2006/relationships/hyperlink" Target="https://multicaixas.com/foto/n/403030nmd.jpeg" TargetMode="External"/><Relationship Id="rId118" Type="http://schemas.openxmlformats.org/officeDocument/2006/relationships/hyperlink" Target="https://multicaixas.com/foto/n/433503nad.jpeg" TargetMode="External"/><Relationship Id="rId134" Type="http://schemas.openxmlformats.org/officeDocument/2006/relationships/hyperlink" Target="https://multicaixas.com/foto/n/603008_nmd.jpg" TargetMode="External"/><Relationship Id="rId139" Type="http://schemas.openxmlformats.org/officeDocument/2006/relationships/printerSettings" Target="../printerSettings/printerSettings3.bin"/><Relationship Id="rId80" Type="http://schemas.openxmlformats.org/officeDocument/2006/relationships/hyperlink" Target="https://www.multicaixas.com/foto/u/dove-shampoo.jpeg" TargetMode="External"/><Relationship Id="rId85" Type="http://schemas.openxmlformats.org/officeDocument/2006/relationships/hyperlink" Target="https://www.multicaixas.com/foto/u/perola.jpeg" TargetMode="External"/><Relationship Id="rId12" Type="http://schemas.openxmlformats.org/officeDocument/2006/relationships/hyperlink" Target="https://multicaixas.com/foto/n/121259nmd.jpg" TargetMode="External"/><Relationship Id="rId17" Type="http://schemas.openxmlformats.org/officeDocument/2006/relationships/hyperlink" Target="https://multicaixas.com/foto/n/1cd.jpg" TargetMode="External"/><Relationship Id="rId33" Type="http://schemas.openxmlformats.org/officeDocument/2006/relationships/hyperlink" Target="https://multicaixas.com/foto/n/181002nad.jpeg" TargetMode="External"/><Relationship Id="rId38" Type="http://schemas.openxmlformats.org/officeDocument/2006/relationships/hyperlink" Target="https://multicaixas.com/foto/n/191103nat.jpeg" TargetMode="External"/><Relationship Id="rId59" Type="http://schemas.openxmlformats.org/officeDocument/2006/relationships/hyperlink" Target="https://multicaixas.com/foto/n/tablet.jpg" TargetMode="External"/><Relationship Id="rId103" Type="http://schemas.openxmlformats.org/officeDocument/2006/relationships/hyperlink" Target="https://multicaixas.com/foto/n/361504nad.jpeg" TargetMode="External"/><Relationship Id="rId108" Type="http://schemas.openxmlformats.org/officeDocument/2006/relationships/hyperlink" Target="https://www.multicaixas.com/foto/u/farmarin.jpeg" TargetMode="External"/><Relationship Id="rId124" Type="http://schemas.openxmlformats.org/officeDocument/2006/relationships/hyperlink" Target="https://multicaixas.com/foto/n/503320nmd.jpeg" TargetMode="External"/><Relationship Id="rId129" Type="http://schemas.openxmlformats.org/officeDocument/2006/relationships/hyperlink" Target="https://www.multicaixas.com/foto/u/nit.jpeg" TargetMode="External"/><Relationship Id="rId54" Type="http://schemas.openxmlformats.org/officeDocument/2006/relationships/hyperlink" Target="https://multicaixas.com/foto/n/202008nmd.jpeg" TargetMode="External"/><Relationship Id="rId70" Type="http://schemas.openxmlformats.org/officeDocument/2006/relationships/hyperlink" Target="https://multicaixas.com/foto/n/252008nmd.jpeg" TargetMode="External"/><Relationship Id="rId75" Type="http://schemas.openxmlformats.org/officeDocument/2006/relationships/hyperlink" Target="https://multicaixas.com/foto/n/261708-corr2.jpeg" TargetMode="External"/><Relationship Id="rId91" Type="http://schemas.openxmlformats.org/officeDocument/2006/relationships/hyperlink" Target="https://multicaixas.com/foto/n/312212nmd.jpeg" TargetMode="External"/><Relationship Id="rId96" Type="http://schemas.openxmlformats.org/officeDocument/2006/relationships/hyperlink" Target="https://multicaixas.com/foto/n/341624nmd.jpeg" TargetMode="External"/><Relationship Id="rId140" Type="http://schemas.openxmlformats.org/officeDocument/2006/relationships/vmlDrawing" Target="../drawings/vmlDrawing1.vml"/><Relationship Id="rId1" Type="http://schemas.openxmlformats.org/officeDocument/2006/relationships/hyperlink" Target="https://multicaixas.com/foto/n/060636nmd.jpg" TargetMode="External"/><Relationship Id="rId6" Type="http://schemas.openxmlformats.org/officeDocument/2006/relationships/hyperlink" Target="https://multicaixas.com/foto/n/101004nad.jpeg" TargetMode="External"/><Relationship Id="rId23" Type="http://schemas.openxmlformats.org/officeDocument/2006/relationships/hyperlink" Target="https://multicaixas.com/foto/n/161103nmd.jpeg" TargetMode="External"/><Relationship Id="rId28" Type="http://schemas.openxmlformats.org/officeDocument/2006/relationships/hyperlink" Target="https://multicaixas.com/foto/n/161110nmd.jpeg" TargetMode="External"/><Relationship Id="rId49" Type="http://schemas.openxmlformats.org/officeDocument/2006/relationships/hyperlink" Target="https://multicaixas.com/foto/n/201607nmd.jpeg" TargetMode="External"/><Relationship Id="rId114" Type="http://schemas.openxmlformats.org/officeDocument/2006/relationships/hyperlink" Target="https://multicaixas.com/foto/n/403030nmt.jpeg" TargetMode="External"/><Relationship Id="rId119" Type="http://schemas.openxmlformats.org/officeDocument/2006/relationships/hyperlink" Target="https://multicaixas.com/foto/n/Simp433739lote.jpeg" TargetMode="External"/><Relationship Id="rId44" Type="http://schemas.openxmlformats.org/officeDocument/2006/relationships/hyperlink" Target="https://multicaixas.com/foto/n/201303nmd.jpeg" TargetMode="External"/><Relationship Id="rId60" Type="http://schemas.openxmlformats.org/officeDocument/2006/relationships/hyperlink" Target="https://multicaixas.com/foto/n/222115nmd.jpeg" TargetMode="External"/><Relationship Id="rId65" Type="http://schemas.openxmlformats.org/officeDocument/2006/relationships/hyperlink" Target="https://multicaixas.com/foto/n/241506nmd.jpeg" TargetMode="External"/><Relationship Id="rId81" Type="http://schemas.openxmlformats.org/officeDocument/2006/relationships/hyperlink" Target="https://multicaixas.com/foto/n/292307-b-conjm.jpeg" TargetMode="External"/><Relationship Id="rId86" Type="http://schemas.openxmlformats.org/officeDocument/2006/relationships/hyperlink" Target="https://multicaixas.com/foto/n/302020nmd.jpeg" TargetMode="External"/><Relationship Id="rId130" Type="http://schemas.openxmlformats.org/officeDocument/2006/relationships/hyperlink" Target="https://www.multicaixas.com/foto/u/cooper-fibra.jpeg" TargetMode="External"/><Relationship Id="rId135" Type="http://schemas.openxmlformats.org/officeDocument/2006/relationships/hyperlink" Target="https://multicaixas.com/foto/n/604040nmd.jpeg" TargetMode="External"/><Relationship Id="rId13" Type="http://schemas.openxmlformats.org/officeDocument/2006/relationships/hyperlink" Target="https://multicaixas.com/foto/n/141104nad.jpg" TargetMode="External"/><Relationship Id="rId18" Type="http://schemas.openxmlformats.org/officeDocument/2006/relationships/hyperlink" Target="https://multicaixas.com/foto/n/2cd.jpg" TargetMode="External"/><Relationship Id="rId39" Type="http://schemas.openxmlformats.org/officeDocument/2006/relationships/hyperlink" Target="https://multicaixas.com/foto/n/191104nmd.jpeg" TargetMode="External"/><Relationship Id="rId109" Type="http://schemas.openxmlformats.org/officeDocument/2006/relationships/hyperlink" Target="https://multicaixas.com/foto/n/383203nad.jpeg" TargetMode="External"/><Relationship Id="rId34" Type="http://schemas.openxmlformats.org/officeDocument/2006/relationships/hyperlink" Target="https://multicaixas.com/foto/n/181309nmd.jpg" TargetMode="External"/><Relationship Id="rId50" Type="http://schemas.openxmlformats.org/officeDocument/2006/relationships/hyperlink" Target="https://multicaixas.com/foto/n/201609nmd.jpeg" TargetMode="External"/><Relationship Id="rId55" Type="http://schemas.openxmlformats.org/officeDocument/2006/relationships/hyperlink" Target="https://multicaixas.com/foto/n/202020nmd.jpeg" TargetMode="External"/><Relationship Id="rId76" Type="http://schemas.openxmlformats.org/officeDocument/2006/relationships/hyperlink" Target="https://multicaixas.com/foto/n/261708-corr2-simp.jpeg" TargetMode="External"/><Relationship Id="rId97" Type="http://schemas.openxmlformats.org/officeDocument/2006/relationships/hyperlink" Target="https://multicaixas.com/foto/n/342114-corr4-slim.jpg" TargetMode="External"/><Relationship Id="rId104" Type="http://schemas.openxmlformats.org/officeDocument/2006/relationships/hyperlink" Target="https://www.multicaixas.com/foto/u/ew-361734-34006.jpeg" TargetMode="External"/><Relationship Id="rId120" Type="http://schemas.openxmlformats.org/officeDocument/2006/relationships/hyperlink" Target="https://www.multicaixas.com/foto/u/ps3-200.jpg" TargetMode="External"/><Relationship Id="rId125" Type="http://schemas.openxmlformats.org/officeDocument/2006/relationships/hyperlink" Target="https://www.multicaixas.com/foto/u/pepsico-verde.jpeg" TargetMode="External"/><Relationship Id="rId141" Type="http://schemas.openxmlformats.org/officeDocument/2006/relationships/comments" Target="../comments1.xml"/><Relationship Id="rId7" Type="http://schemas.openxmlformats.org/officeDocument/2006/relationships/hyperlink" Target="https://multicaixas.com/foto/n/111139nmd.jpg" TargetMode="External"/><Relationship Id="rId71" Type="http://schemas.openxmlformats.org/officeDocument/2006/relationships/hyperlink" Target="https://multicaixas.com/foto/n/252020nmd.jpeg" TargetMode="External"/><Relationship Id="rId92" Type="http://schemas.openxmlformats.org/officeDocument/2006/relationships/hyperlink" Target="https://multicaixas.com/foto/n/312508nmd.jpeg" TargetMode="External"/><Relationship Id="rId2" Type="http://schemas.openxmlformats.org/officeDocument/2006/relationships/hyperlink" Target="https://multicaixas.com/foto/n/070704nad.jpeg" TargetMode="External"/><Relationship Id="rId29" Type="http://schemas.openxmlformats.org/officeDocument/2006/relationships/hyperlink" Target="https://multicaixas.com/foto/n/161316nmd.jpeg" TargetMode="External"/><Relationship Id="rId24" Type="http://schemas.openxmlformats.org/officeDocument/2006/relationships/hyperlink" Target="https://multicaixas.com/foto/n/161103smart.jpeg" TargetMode="External"/><Relationship Id="rId40" Type="http://schemas.openxmlformats.org/officeDocument/2006/relationships/hyperlink" Target="https://multicaixas.com/foto/n/191212nmd.jpeg" TargetMode="External"/><Relationship Id="rId45" Type="http://schemas.openxmlformats.org/officeDocument/2006/relationships/hyperlink" Target="https://multicaixas.com/foto/n/201406nmd.jpeg" TargetMode="External"/><Relationship Id="rId66" Type="http://schemas.openxmlformats.org/officeDocument/2006/relationships/hyperlink" Target="https://multicaixas.com/foto/n/241510nmd.jpeg" TargetMode="External"/><Relationship Id="rId87" Type="http://schemas.openxmlformats.org/officeDocument/2006/relationships/hyperlink" Target="https://multicaixas.com/foto/n/302515nmd.png" TargetMode="External"/><Relationship Id="rId110" Type="http://schemas.openxmlformats.org/officeDocument/2006/relationships/hyperlink" Target="https://multicaixas.com/foto/n/402807nad.jpeg" TargetMode="External"/><Relationship Id="rId115" Type="http://schemas.openxmlformats.org/officeDocument/2006/relationships/hyperlink" Target="https://www.multicaixas.com/foto/u/colgate412420.jpeg" TargetMode="External"/><Relationship Id="rId131" Type="http://schemas.openxmlformats.org/officeDocument/2006/relationships/hyperlink" Target="https://www.multicaixas.com/foto/u/finart_a.jpeg" TargetMode="External"/><Relationship Id="rId136" Type="http://schemas.openxmlformats.org/officeDocument/2006/relationships/hyperlink" Target="https://multicaixas.com/foto/n/605050nmd.jpeg" TargetMode="External"/><Relationship Id="rId61" Type="http://schemas.openxmlformats.org/officeDocument/2006/relationships/hyperlink" Target="https://multicaixas.com/foto/n/c10.jpg" TargetMode="External"/><Relationship Id="rId82" Type="http://schemas.openxmlformats.org/officeDocument/2006/relationships/hyperlink" Target="https://multicaixas.com/foto/n/301104nmd.jpg" TargetMode="External"/><Relationship Id="rId19" Type="http://schemas.openxmlformats.org/officeDocument/2006/relationships/hyperlink" Target="https://multicaixas.com/foto/n/151510nmd.jpeg" TargetMode="External"/><Relationship Id="rId14" Type="http://schemas.openxmlformats.org/officeDocument/2006/relationships/hyperlink" Target="https://multicaixas.com/foto/n/151007nmd.jpeg" TargetMode="External"/><Relationship Id="rId30" Type="http://schemas.openxmlformats.org/officeDocument/2006/relationships/hyperlink" Target="https://multicaixas.com/foto/n/171006nad.jpg" TargetMode="External"/><Relationship Id="rId35" Type="http://schemas.openxmlformats.org/officeDocument/2006/relationships/hyperlink" Target="https://multicaixas.com/foto/n/181405-b-nad.jpeg" TargetMode="External"/><Relationship Id="rId56" Type="http://schemas.openxmlformats.org/officeDocument/2006/relationships/hyperlink" Target="https://multicaixas.com/foto/n/211404nad.jpeg" TargetMode="External"/><Relationship Id="rId77" Type="http://schemas.openxmlformats.org/officeDocument/2006/relationships/hyperlink" Target="https://multicaixas.com/foto/n/271607nad.jpeg" TargetMode="External"/><Relationship Id="rId100" Type="http://schemas.openxmlformats.org/officeDocument/2006/relationships/hyperlink" Target="https://multicaixas.com/foto/n/343206-p-conjgg.jpeg" TargetMode="External"/><Relationship Id="rId105" Type="http://schemas.openxmlformats.org/officeDocument/2006/relationships/hyperlink" Target="https://multicaixas.com/foto/n/382117nmd.jpeg" TargetMode="External"/><Relationship Id="rId126" Type="http://schemas.openxmlformats.org/officeDocument/2006/relationships/hyperlink" Target="https://www.multicaixas.com/foto/u/pepsico_preta.jpg" TargetMode="External"/><Relationship Id="rId8" Type="http://schemas.openxmlformats.org/officeDocument/2006/relationships/hyperlink" Target="https://multicaixas.com/foto/n/120345nmd.jpeg" TargetMode="External"/><Relationship Id="rId51" Type="http://schemas.openxmlformats.org/officeDocument/2006/relationships/hyperlink" Target="https://multicaixas.com/foto/n/201812nad.jpeg" TargetMode="External"/><Relationship Id="rId72" Type="http://schemas.openxmlformats.org/officeDocument/2006/relationships/hyperlink" Target="https://multicaixas.com/foto/n/252506-p-conjm.jpeg" TargetMode="External"/><Relationship Id="rId93" Type="http://schemas.openxmlformats.org/officeDocument/2006/relationships/hyperlink" Target="https://multicaixas.com/foto/n/322306nmd.jpeg" TargetMode="External"/><Relationship Id="rId98" Type="http://schemas.openxmlformats.org/officeDocument/2006/relationships/hyperlink" Target="https://multicaixas.com/foto/n/342404nmd.jpeg" TargetMode="External"/><Relationship Id="rId121" Type="http://schemas.openxmlformats.org/officeDocument/2006/relationships/hyperlink" Target="https://www.multicaixas.com/foto/u/spel-E-02.jpeg" TargetMode="External"/><Relationship Id="rId3" Type="http://schemas.openxmlformats.org/officeDocument/2006/relationships/hyperlink" Target="https://multicaixas.com/foto/n/080808nmd.jpeg" TargetMode="External"/><Relationship Id="rId25" Type="http://schemas.openxmlformats.org/officeDocument/2006/relationships/hyperlink" Target="https://multicaixas.com/foto/n/161106nad.jpg" TargetMode="External"/><Relationship Id="rId46" Type="http://schemas.openxmlformats.org/officeDocument/2006/relationships/hyperlink" Target="https://multicaixas.com/foto/n/201407nad.jpg" TargetMode="External"/><Relationship Id="rId67" Type="http://schemas.openxmlformats.org/officeDocument/2006/relationships/hyperlink" Target="https://multicaixas.com/foto/n/241705nad.jpeg" TargetMode="External"/><Relationship Id="rId116" Type="http://schemas.openxmlformats.org/officeDocument/2006/relationships/hyperlink" Target="https://www.multicaixas.com/foto/u/cukin_80_creme.jpeg" TargetMode="External"/><Relationship Id="rId137" Type="http://schemas.openxmlformats.org/officeDocument/2006/relationships/hyperlink" Target="https://www.multicaixas.com/foto/u/polyfin.jpeg" TargetMode="External"/><Relationship Id="rId20" Type="http://schemas.openxmlformats.org/officeDocument/2006/relationships/hyperlink" Target="https://multicaixas.com/foto/n/151515nmd.jpeg" TargetMode="External"/><Relationship Id="rId41" Type="http://schemas.openxmlformats.org/officeDocument/2006/relationships/hyperlink" Target="https://multicaixas.com/foto/n/2dvd.jpg" TargetMode="External"/><Relationship Id="rId62" Type="http://schemas.openxmlformats.org/officeDocument/2006/relationships/hyperlink" Target="https://www.multicaixas.com/foto/u/tressemme-231722.jpeg" TargetMode="External"/><Relationship Id="rId83" Type="http://schemas.openxmlformats.org/officeDocument/2006/relationships/hyperlink" Target="https://multicaixas.com/foto/n/301110nmd.jpeg" TargetMode="External"/><Relationship Id="rId88" Type="http://schemas.openxmlformats.org/officeDocument/2006/relationships/hyperlink" Target="https://multicaixas.com/foto/n/302906-p-conjg.jpeg" TargetMode="External"/><Relationship Id="rId111" Type="http://schemas.openxmlformats.org/officeDocument/2006/relationships/hyperlink" Target="https://multicaixas.com/foto/n/403010nmd.jpeg" TargetMode="External"/><Relationship Id="rId132" Type="http://schemas.openxmlformats.org/officeDocument/2006/relationships/hyperlink" Target="https://www.multicaixas.com/foto/u/ovo.jpeg" TargetMode="External"/><Relationship Id="rId15" Type="http://schemas.openxmlformats.org/officeDocument/2006/relationships/hyperlink" Target="https://multicaixas.com/foto/n/151010nmd.jpeg" TargetMode="External"/><Relationship Id="rId36" Type="http://schemas.openxmlformats.org/officeDocument/2006/relationships/hyperlink" Target="https://multicaixas.com/foto/n/181818nmd.jpeg" TargetMode="External"/><Relationship Id="rId57" Type="http://schemas.openxmlformats.org/officeDocument/2006/relationships/hyperlink" Target="https://www.multicaixas.com/foto/u/dove_211620.jpeg" TargetMode="External"/><Relationship Id="rId106" Type="http://schemas.openxmlformats.org/officeDocument/2006/relationships/hyperlink" Target="https://www.multicaixas.com/foto/u/colgate382417.jpeg" TargetMode="External"/><Relationship Id="rId127" Type="http://schemas.openxmlformats.org/officeDocument/2006/relationships/hyperlink" Target="https://multicaixas.com/foto/n/503530nmd.jpeg" TargetMode="External"/><Relationship Id="rId10" Type="http://schemas.openxmlformats.org/officeDocument/2006/relationships/hyperlink" Target="https://multicaixas.com/foto/n/120907nad.jpg" TargetMode="External"/><Relationship Id="rId31" Type="http://schemas.openxmlformats.org/officeDocument/2006/relationships/hyperlink" Target="https://multicaixas.com/foto/n/171405nmd.jpeg" TargetMode="External"/><Relationship Id="rId52" Type="http://schemas.openxmlformats.org/officeDocument/2006/relationships/hyperlink" Target="https://multicaixas.com/foto/n/201907-b-conjp.jpeg" TargetMode="External"/><Relationship Id="rId73" Type="http://schemas.openxmlformats.org/officeDocument/2006/relationships/hyperlink" Target="https://multicaixas.com/foto/n/261218nmd.jpeg" TargetMode="External"/><Relationship Id="rId78" Type="http://schemas.openxmlformats.org/officeDocument/2006/relationships/hyperlink" Target="https://multicaixas.com/foto/n/271809nmd.jpeg" TargetMode="External"/><Relationship Id="rId94" Type="http://schemas.openxmlformats.org/officeDocument/2006/relationships/hyperlink" Target="https://www.multicaixas.com/foto/u/colgate322933.jpeg" TargetMode="External"/><Relationship Id="rId99" Type="http://schemas.openxmlformats.org/officeDocument/2006/relationships/hyperlink" Target="https://multicaixas.com/foto/n/342907-b-conjg.jpeg" TargetMode="External"/><Relationship Id="rId101" Type="http://schemas.openxmlformats.org/officeDocument/2006/relationships/hyperlink" Target="https://multicaixas.com/foto/n/352814-corr4-simp.jpg" TargetMode="External"/><Relationship Id="rId122" Type="http://schemas.openxmlformats.org/officeDocument/2006/relationships/hyperlink" Target="https://multicaixas.com/foto/n/copo24.jpeg" TargetMode="External"/><Relationship Id="rId4" Type="http://schemas.openxmlformats.org/officeDocument/2006/relationships/hyperlink" Target="https://multicaixas.com/foto/n/080860nmd.jpeg" TargetMode="External"/><Relationship Id="rId9" Type="http://schemas.openxmlformats.org/officeDocument/2006/relationships/hyperlink" Target="https://multicaixas.com/foto/n/120808_cartucho.jpeg" TargetMode="External"/><Relationship Id="rId26" Type="http://schemas.openxmlformats.org/officeDocument/2006/relationships/hyperlink" Target="https://multicaixas.com/foto/n/161106nmd.jpeg" TargetMode="External"/><Relationship Id="rId47" Type="http://schemas.openxmlformats.org/officeDocument/2006/relationships/hyperlink" Target="https://multicaixas.com/foto/n/201411nmd.jpeg" TargetMode="External"/><Relationship Id="rId68" Type="http://schemas.openxmlformats.org/officeDocument/2006/relationships/hyperlink" Target="https://multicaixas.com/foto/n/241710nmd.jpeg" TargetMode="External"/><Relationship Id="rId89" Type="http://schemas.openxmlformats.org/officeDocument/2006/relationships/hyperlink" Target="https://multicaixas.com/foto/n/311410nmd.jpeg" TargetMode="External"/><Relationship Id="rId112" Type="http://schemas.openxmlformats.org/officeDocument/2006/relationships/hyperlink" Target="https://multicaixas.com/foto/n/403030_12_tacas.jpg" TargetMode="External"/><Relationship Id="rId133" Type="http://schemas.openxmlformats.org/officeDocument/2006/relationships/hyperlink" Target="https://multicaixas.com/foto/n/603008_18_xicaras.jpg" TargetMode="External"/><Relationship Id="rId16" Type="http://schemas.openxmlformats.org/officeDocument/2006/relationships/hyperlink" Target="https://multicaixas.com/foto/n/151112nmd.jpeg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B460E-004B-4D6E-B620-7EB59B8875D1}">
  <sheetPr codeName="Planilha13"/>
  <dimension ref="B1:L25"/>
  <sheetViews>
    <sheetView workbookViewId="0">
      <selection activeCell="H15" sqref="H15"/>
    </sheetView>
  </sheetViews>
  <sheetFormatPr defaultColWidth="9.140625" defaultRowHeight="18.75"/>
  <cols>
    <col min="1" max="1" width="4.7109375" style="66" customWidth="1"/>
    <col min="2" max="2" width="11.42578125" style="66" customWidth="1"/>
    <col min="3" max="3" width="34" style="66" customWidth="1"/>
    <col min="4" max="4" width="9.140625" style="66"/>
    <col min="5" max="5" width="16.5703125" style="66" customWidth="1"/>
    <col min="6" max="9" width="9.140625" style="66"/>
    <col min="10" max="10" width="9.42578125" style="66" customWidth="1"/>
    <col min="11" max="11" width="16.28515625" style="66" customWidth="1"/>
    <col min="12" max="16384" width="9.140625" style="66"/>
  </cols>
  <sheetData>
    <row r="1" spans="2:12" ht="58.5" customHeight="1"/>
    <row r="3" spans="2:12">
      <c r="B3" s="66" t="s">
        <v>218</v>
      </c>
    </row>
    <row r="4" spans="2:12">
      <c r="B4" s="67" t="s">
        <v>242</v>
      </c>
    </row>
    <row r="6" spans="2:12">
      <c r="B6" s="68" t="s">
        <v>244</v>
      </c>
    </row>
    <row r="7" spans="2:12">
      <c r="B7" s="66" t="s">
        <v>245</v>
      </c>
    </row>
    <row r="8" spans="2:12">
      <c r="B8" s="66" t="s">
        <v>243</v>
      </c>
    </row>
    <row r="9" spans="2:12">
      <c r="B9" s="66" t="s">
        <v>221</v>
      </c>
    </row>
    <row r="10" spans="2:12">
      <c r="B10" s="66" t="s">
        <v>219</v>
      </c>
    </row>
    <row r="12" spans="2:12" ht="19.5" thickBot="1"/>
    <row r="13" spans="2:12" ht="18" customHeight="1">
      <c r="B13" s="66" t="s">
        <v>220</v>
      </c>
      <c r="J13" s="171" t="s">
        <v>252</v>
      </c>
      <c r="K13" s="172" t="s">
        <v>253</v>
      </c>
      <c r="L13" s="173"/>
    </row>
    <row r="14" spans="2:12" ht="18" customHeight="1">
      <c r="B14" s="68" t="s">
        <v>217</v>
      </c>
      <c r="J14" s="158" t="s">
        <v>256</v>
      </c>
      <c r="K14" s="155" t="s">
        <v>254</v>
      </c>
      <c r="L14" s="174"/>
    </row>
    <row r="15" spans="2:12" ht="18" customHeight="1">
      <c r="B15" s="66" t="s">
        <v>261</v>
      </c>
      <c r="H15" s="168"/>
      <c r="I15" s="168"/>
      <c r="J15" s="158" t="s">
        <v>257</v>
      </c>
      <c r="K15" s="155" t="s">
        <v>255</v>
      </c>
      <c r="L15" s="174"/>
    </row>
    <row r="16" spans="2:12" ht="18" customHeight="1">
      <c r="H16" s="168"/>
      <c r="I16" s="168"/>
      <c r="J16" s="160"/>
      <c r="K16" s="155"/>
      <c r="L16" s="174"/>
    </row>
    <row r="17" spans="2:12" ht="18" customHeight="1">
      <c r="B17" s="68" t="s">
        <v>222</v>
      </c>
      <c r="J17" s="160" t="s">
        <v>240</v>
      </c>
      <c r="K17" s="175" t="s">
        <v>250</v>
      </c>
      <c r="L17" s="174"/>
    </row>
    <row r="18" spans="2:12" ht="18" customHeight="1" thickBot="1">
      <c r="B18" s="66" t="s">
        <v>223</v>
      </c>
      <c r="J18" s="176" t="s">
        <v>239</v>
      </c>
      <c r="K18" s="177" t="s">
        <v>251</v>
      </c>
      <c r="L18" s="163"/>
    </row>
    <row r="19" spans="2:12" ht="30" customHeight="1"/>
    <row r="20" spans="2:12" s="155" customFormat="1" ht="14.25" customHeight="1">
      <c r="B20" s="68" t="s">
        <v>258</v>
      </c>
      <c r="K20" s="66"/>
      <c r="L20" s="66"/>
    </row>
    <row r="21" spans="2:12" s="155" customFormat="1" ht="14.25" customHeight="1">
      <c r="B21" s="69" t="s">
        <v>259</v>
      </c>
    </row>
    <row r="22" spans="2:12" s="155" customFormat="1" ht="14.25" customHeight="1">
      <c r="B22" s="66" t="s">
        <v>260</v>
      </c>
    </row>
    <row r="23" spans="2:12" s="155" customFormat="1" ht="14.25" customHeight="1"/>
    <row r="24" spans="2:12" s="155" customFormat="1" ht="14.25" customHeight="1"/>
    <row r="25" spans="2:12" s="155" customFormat="1" ht="14.25" customHeight="1"/>
  </sheetData>
  <sheetProtection sheet="1" objects="1" scenarios="1" selectLockedCells="1"/>
  <hyperlinks>
    <hyperlink ref="K18" r:id="rId1" xr:uid="{4F5B200B-0FF9-4F83-89A3-EA6595BA3F55}"/>
    <hyperlink ref="K17" r:id="rId2" xr:uid="{47E466EA-2A03-4F22-A221-BB291BB2630F}"/>
    <hyperlink ref="B21" r:id="rId3" xr:uid="{AB3D77CC-05CB-42E3-924A-FBEF972480E5}"/>
  </hyperlinks>
  <pageMargins left="0.511811024" right="0.511811024" top="0.78740157499999996" bottom="0.78740157499999996" header="0.31496062000000002" footer="0.31496062000000002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D4300-CAE5-478E-8E41-0236EDC53B9A}">
  <sheetPr codeName="Planilha12"/>
  <dimension ref="B1:U50"/>
  <sheetViews>
    <sheetView zoomScaleNormal="100" workbookViewId="0">
      <selection activeCell="G6" sqref="G6"/>
    </sheetView>
  </sheetViews>
  <sheetFormatPr defaultColWidth="9.140625" defaultRowHeight="15" customHeight="1"/>
  <cols>
    <col min="1" max="1" width="2.7109375" style="1" customWidth="1"/>
    <col min="2" max="2" width="39.85546875" style="1" customWidth="1"/>
    <col min="3" max="3" width="2" style="1" customWidth="1"/>
    <col min="4" max="4" width="10.5703125" style="30" customWidth="1"/>
    <col min="5" max="5" width="29.7109375" style="27" customWidth="1"/>
    <col min="6" max="6" width="2" style="6" customWidth="1"/>
    <col min="7" max="7" width="10.28515625" style="5" customWidth="1"/>
    <col min="8" max="8" width="1.7109375" style="6" customWidth="1"/>
    <col min="9" max="9" width="16.42578125" style="1" bestFit="1" customWidth="1"/>
    <col min="10" max="10" width="2" style="1" hidden="1" customWidth="1"/>
    <col min="11" max="11" width="6.85546875" style="1" hidden="1" customWidth="1"/>
    <col min="12" max="12" width="9.5703125" style="1" hidden="1" customWidth="1"/>
    <col min="13" max="13" width="3.28515625" style="1" customWidth="1"/>
    <col min="14" max="14" width="8" style="1" customWidth="1"/>
    <col min="15" max="15" width="7.28515625" style="1" customWidth="1"/>
    <col min="16" max="16" width="3.42578125" style="22" customWidth="1"/>
    <col min="17" max="17" width="12.42578125" style="22" customWidth="1"/>
    <col min="18" max="18" width="9.140625" style="22" customWidth="1"/>
    <col min="19" max="19" width="12.42578125" style="22" bestFit="1" customWidth="1"/>
    <col min="20" max="16384" width="9.140625" style="1"/>
  </cols>
  <sheetData>
    <row r="1" spans="2:19" s="15" customFormat="1" ht="34.5" customHeight="1">
      <c r="B1" s="207" t="s">
        <v>296</v>
      </c>
      <c r="D1" s="29"/>
      <c r="E1" s="26"/>
      <c r="F1" s="16"/>
      <c r="G1" s="17"/>
      <c r="H1" s="16"/>
      <c r="P1" s="21"/>
      <c r="Q1" s="21"/>
      <c r="R1" s="21"/>
      <c r="S1" s="21"/>
    </row>
    <row r="2" spans="2:19" ht="18" customHeight="1">
      <c r="B2" s="72">
        <f>N3+N22+N35</f>
        <v>0</v>
      </c>
      <c r="D2" s="341" t="str">
        <f>CHOOSE(   (1+((COUNT(G:G))&gt;0)+((COUNT(G:G))&gt;1)),"Não Selecionado",(COUNT(G:G))&amp;" Produto",(COUNT(G:G))&amp;" Produtos")</f>
        <v>Não Selecionado</v>
      </c>
      <c r="H2" s="2"/>
      <c r="I2" s="65"/>
      <c r="J2" s="35">
        <v>1</v>
      </c>
      <c r="K2" s="35"/>
      <c r="L2" s="35"/>
      <c r="M2" s="5"/>
      <c r="N2" s="5"/>
      <c r="O2" s="5"/>
    </row>
    <row r="3" spans="2:19" ht="17.25" customHeight="1">
      <c r="B3" s="73">
        <f>COUNT(G:G)</f>
        <v>0</v>
      </c>
      <c r="D3" s="642"/>
      <c r="E3" s="642"/>
      <c r="G3" s="71" t="s">
        <v>158</v>
      </c>
      <c r="I3" s="61" t="s">
        <v>181</v>
      </c>
      <c r="J3" s="33"/>
      <c r="K3" s="33"/>
      <c r="L3" s="34"/>
      <c r="N3" s="528">
        <f>SUM(N5:N7)</f>
        <v>0</v>
      </c>
      <c r="O3" s="528"/>
      <c r="P3" s="23"/>
    </row>
    <row r="4" spans="2:19" ht="16.5">
      <c r="B4" s="529" t="s">
        <v>27</v>
      </c>
      <c r="C4" s="530"/>
      <c r="D4" s="646"/>
      <c r="E4" s="647"/>
      <c r="F4" s="7"/>
      <c r="G4" s="4"/>
      <c r="H4" s="8"/>
      <c r="I4" s="62"/>
      <c r="J4" s="643">
        <v>101</v>
      </c>
      <c r="K4" s="545"/>
      <c r="L4" s="19">
        <v>102</v>
      </c>
      <c r="N4" s="533"/>
      <c r="O4" s="533"/>
    </row>
    <row r="5" spans="2:19" ht="16.5" hidden="1">
      <c r="B5" s="535"/>
      <c r="C5" s="536"/>
      <c r="D5" s="644"/>
      <c r="E5" s="645"/>
      <c r="F5" s="7"/>
      <c r="G5" s="70"/>
      <c r="H5" s="7"/>
      <c r="I5" s="25"/>
      <c r="J5" s="641"/>
      <c r="K5" s="550"/>
      <c r="L5" s="11"/>
      <c r="N5" s="525"/>
      <c r="O5" s="525"/>
      <c r="P5" s="24"/>
    </row>
    <row r="6" spans="2:19" ht="16.5">
      <c r="B6" s="535" t="s">
        <v>199</v>
      </c>
      <c r="C6" s="536"/>
      <c r="D6" s="644" t="s">
        <v>204</v>
      </c>
      <c r="E6" s="645"/>
      <c r="F6" s="7"/>
      <c r="G6" s="70"/>
      <c r="H6" s="7"/>
      <c r="I6" s="25">
        <v>60</v>
      </c>
      <c r="J6" s="641" t="e">
        <f>#REF!</f>
        <v>#REF!</v>
      </c>
      <c r="K6" s="550"/>
      <c r="L6" s="11" t="e">
        <f t="shared" ref="L6:L7" si="0">J6</f>
        <v>#REF!</v>
      </c>
      <c r="N6" s="525">
        <f t="shared" ref="N6:N7" si="1">I6*G6</f>
        <v>0</v>
      </c>
      <c r="O6" s="525"/>
      <c r="P6" s="24"/>
    </row>
    <row r="7" spans="2:19" ht="16.5">
      <c r="B7" s="535" t="s">
        <v>200</v>
      </c>
      <c r="C7" s="536"/>
      <c r="D7" s="644" t="s">
        <v>203</v>
      </c>
      <c r="E7" s="645"/>
      <c r="F7" s="7"/>
      <c r="G7" s="70"/>
      <c r="H7" s="7"/>
      <c r="I7" s="25">
        <v>30</v>
      </c>
      <c r="J7" s="641" t="e">
        <f>#REF!</f>
        <v>#REF!</v>
      </c>
      <c r="K7" s="550"/>
      <c r="L7" s="11" t="e">
        <f t="shared" si="0"/>
        <v>#REF!</v>
      </c>
      <c r="N7" s="525">
        <f t="shared" si="1"/>
        <v>0</v>
      </c>
      <c r="O7" s="525"/>
      <c r="P7" s="24"/>
    </row>
    <row r="8" spans="2:19" ht="15.75" hidden="1" customHeight="1"/>
    <row r="9" spans="2:19" ht="15" hidden="1" customHeight="1"/>
    <row r="10" spans="2:19" ht="15" hidden="1" customHeight="1"/>
    <row r="11" spans="2:19" ht="15" hidden="1" customHeight="1"/>
    <row r="12" spans="2:19" ht="15" hidden="1" customHeight="1"/>
    <row r="13" spans="2:19" ht="15" hidden="1" customHeight="1"/>
    <row r="14" spans="2:19" ht="15" hidden="1" customHeight="1"/>
    <row r="15" spans="2:19" ht="15" hidden="1" customHeight="1"/>
    <row r="16" spans="2:19" ht="15" hidden="1" customHeight="1"/>
    <row r="17" spans="2:21" ht="15" hidden="1" customHeight="1"/>
    <row r="18" spans="2:21" ht="15" hidden="1" customHeight="1"/>
    <row r="20" spans="2:21" s="15" customFormat="1" ht="34.5" customHeight="1">
      <c r="D20" s="29"/>
      <c r="E20" s="26"/>
      <c r="F20" s="16"/>
      <c r="G20" s="17"/>
      <c r="H20" s="16"/>
      <c r="P20" s="21"/>
      <c r="Q20" s="21"/>
      <c r="R20" s="21"/>
      <c r="S20" s="21"/>
    </row>
    <row r="21" spans="2:21" ht="18" customHeight="1">
      <c r="H21" s="2"/>
      <c r="I21" s="65"/>
      <c r="J21" s="35">
        <v>1</v>
      </c>
      <c r="K21" s="35"/>
      <c r="L21" s="35"/>
      <c r="M21" s="5"/>
      <c r="N21" s="5"/>
      <c r="O21" s="5"/>
    </row>
    <row r="22" spans="2:21" ht="17.25" customHeight="1">
      <c r="B22" s="20"/>
      <c r="D22" s="642"/>
      <c r="E22" s="642"/>
      <c r="G22" s="71" t="s">
        <v>158</v>
      </c>
      <c r="I22" s="61" t="s">
        <v>181</v>
      </c>
      <c r="J22" s="33"/>
      <c r="K22" s="33"/>
      <c r="L22" s="34"/>
      <c r="N22" s="528">
        <f>SUM(N24:N26)</f>
        <v>0</v>
      </c>
      <c r="O22" s="528"/>
      <c r="P22" s="23"/>
    </row>
    <row r="23" spans="2:21" ht="16.5">
      <c r="B23" s="529" t="s">
        <v>27</v>
      </c>
      <c r="C23" s="530"/>
      <c r="D23" s="646"/>
      <c r="E23" s="647"/>
      <c r="F23" s="7"/>
      <c r="G23" s="4"/>
      <c r="H23" s="8"/>
      <c r="I23" s="62"/>
      <c r="J23" s="643">
        <v>101</v>
      </c>
      <c r="K23" s="545"/>
      <c r="L23" s="19">
        <v>102</v>
      </c>
      <c r="N23" s="533"/>
      <c r="O23" s="533"/>
    </row>
    <row r="24" spans="2:21" ht="16.5">
      <c r="B24" s="535" t="s">
        <v>201</v>
      </c>
      <c r="C24" s="536"/>
      <c r="D24" s="644" t="s">
        <v>206</v>
      </c>
      <c r="E24" s="645"/>
      <c r="F24" s="182"/>
      <c r="G24" s="70"/>
      <c r="H24" s="7"/>
      <c r="I24" s="25">
        <v>12</v>
      </c>
      <c r="J24" s="641" t="e">
        <f>#REF!</f>
        <v>#REF!</v>
      </c>
      <c r="K24" s="550"/>
      <c r="L24" s="11" t="e">
        <f>J24</f>
        <v>#REF!</v>
      </c>
      <c r="N24" s="525">
        <f>I24*G24</f>
        <v>0</v>
      </c>
      <c r="O24" s="525"/>
      <c r="P24" s="24"/>
    </row>
    <row r="25" spans="2:21" ht="16.5">
      <c r="B25" s="535" t="s">
        <v>208</v>
      </c>
      <c r="C25" s="536"/>
      <c r="D25" s="644" t="s">
        <v>205</v>
      </c>
      <c r="E25" s="645"/>
      <c r="F25" s="182"/>
      <c r="G25" s="70"/>
      <c r="H25" s="7"/>
      <c r="I25" s="25">
        <v>8</v>
      </c>
      <c r="J25" s="641" t="e">
        <f>#REF!</f>
        <v>#REF!</v>
      </c>
      <c r="K25" s="550"/>
      <c r="L25" s="11" t="e">
        <f t="shared" ref="L25:L26" si="2">J25</f>
        <v>#REF!</v>
      </c>
      <c r="N25" s="525">
        <f t="shared" ref="N25:N26" si="3">I25*G25</f>
        <v>0</v>
      </c>
      <c r="O25" s="525"/>
      <c r="P25" s="24"/>
    </row>
    <row r="26" spans="2:21" ht="16.5">
      <c r="B26" s="535" t="s">
        <v>202</v>
      </c>
      <c r="C26" s="536"/>
      <c r="D26" s="644" t="s">
        <v>206</v>
      </c>
      <c r="E26" s="645"/>
      <c r="F26" s="184"/>
      <c r="G26" s="70"/>
      <c r="H26" s="182"/>
      <c r="I26" s="186">
        <v>15</v>
      </c>
      <c r="J26" s="641" t="e">
        <f>#REF!</f>
        <v>#REF!</v>
      </c>
      <c r="K26" s="550"/>
      <c r="L26" s="11" t="e">
        <f t="shared" si="2"/>
        <v>#REF!</v>
      </c>
      <c r="N26" s="525">
        <f t="shared" si="3"/>
        <v>0</v>
      </c>
      <c r="O26" s="525"/>
      <c r="P26" s="24"/>
      <c r="U26" s="1" t="s">
        <v>182</v>
      </c>
    </row>
    <row r="27" spans="2:21" ht="15" hidden="1" customHeight="1">
      <c r="G27" s="183"/>
      <c r="H27" s="187"/>
    </row>
    <row r="28" spans="2:21" ht="15" hidden="1" customHeight="1">
      <c r="G28" s="183"/>
      <c r="H28" s="187"/>
      <c r="R28" s="64"/>
    </row>
    <row r="29" spans="2:21" s="22" customFormat="1" ht="15" hidden="1" customHeight="1">
      <c r="B29" s="1"/>
      <c r="C29" s="1"/>
      <c r="D29" s="30"/>
      <c r="E29" s="27"/>
      <c r="F29" s="6"/>
      <c r="G29" s="183"/>
      <c r="H29" s="187"/>
      <c r="I29" s="1"/>
      <c r="J29" s="1"/>
      <c r="K29" s="1"/>
      <c r="L29" s="1"/>
      <c r="M29" s="1"/>
      <c r="N29" s="1"/>
      <c r="O29" s="1"/>
      <c r="R29" s="64"/>
      <c r="T29" s="1"/>
      <c r="U29" s="1"/>
    </row>
    <row r="30" spans="2:21" s="22" customFormat="1" ht="15" hidden="1" customHeight="1">
      <c r="B30" s="1"/>
      <c r="C30" s="1"/>
      <c r="D30" s="30"/>
      <c r="E30" s="27"/>
      <c r="F30" s="6"/>
      <c r="G30" s="183"/>
      <c r="H30" s="187"/>
      <c r="I30" s="1"/>
      <c r="J30" s="1"/>
      <c r="K30" s="1"/>
      <c r="L30" s="1"/>
      <c r="M30" s="1"/>
      <c r="N30" s="1"/>
      <c r="O30" s="1"/>
      <c r="R30" s="64"/>
      <c r="T30" s="1"/>
      <c r="U30" s="1"/>
    </row>
    <row r="31" spans="2:21" s="22" customFormat="1" ht="15" hidden="1" customHeight="1">
      <c r="B31" s="1"/>
      <c r="C31" s="1"/>
      <c r="D31" s="30"/>
      <c r="E31" s="27"/>
      <c r="F31" s="6"/>
      <c r="G31" s="185"/>
      <c r="H31" s="188"/>
      <c r="I31" s="1"/>
      <c r="J31" s="1"/>
      <c r="K31" s="1"/>
      <c r="L31" s="1"/>
      <c r="M31" s="1"/>
      <c r="N31" s="1"/>
      <c r="O31" s="1"/>
      <c r="T31" s="1"/>
      <c r="U31" s="1"/>
    </row>
    <row r="32" spans="2:21" s="22" customFormat="1" ht="15" customHeight="1">
      <c r="B32" s="1"/>
      <c r="C32" s="1"/>
      <c r="D32" s="30"/>
      <c r="E32" s="27"/>
      <c r="F32" s="6"/>
      <c r="G32"/>
      <c r="H32" s="6"/>
      <c r="I32" s="1"/>
      <c r="J32" s="1"/>
      <c r="K32" s="1"/>
      <c r="L32" s="1"/>
      <c r="M32" s="1"/>
      <c r="N32" s="1"/>
      <c r="O32" s="1"/>
      <c r="T32" s="1"/>
      <c r="U32" s="1"/>
    </row>
    <row r="33" spans="2:21" s="15" customFormat="1" ht="34.5" customHeight="1">
      <c r="D33" s="29"/>
      <c r="E33" s="26"/>
      <c r="F33" s="16"/>
      <c r="G33" s="17"/>
      <c r="H33" s="16"/>
      <c r="P33" s="21"/>
      <c r="Q33" s="21"/>
      <c r="R33" s="21"/>
      <c r="S33" s="21"/>
    </row>
    <row r="34" spans="2:21" ht="18" customHeight="1">
      <c r="H34" s="2"/>
      <c r="I34" s="65"/>
      <c r="J34" s="35">
        <v>1</v>
      </c>
      <c r="K34" s="35"/>
      <c r="L34" s="35"/>
      <c r="M34" s="5"/>
      <c r="N34" s="5"/>
      <c r="O34" s="5"/>
    </row>
    <row r="35" spans="2:21" ht="17.25" customHeight="1">
      <c r="B35" s="20"/>
      <c r="D35" s="642"/>
      <c r="E35" s="642"/>
      <c r="G35" s="71" t="s">
        <v>158</v>
      </c>
      <c r="I35" s="61" t="s">
        <v>181</v>
      </c>
      <c r="J35" s="33"/>
      <c r="K35" s="33"/>
      <c r="L35" s="34"/>
      <c r="N35" s="528">
        <f>SUM(N37:N48)</f>
        <v>0</v>
      </c>
      <c r="O35" s="528"/>
      <c r="P35" s="23"/>
    </row>
    <row r="36" spans="2:21" ht="16.5">
      <c r="B36" s="529" t="s">
        <v>27</v>
      </c>
      <c r="C36" s="530"/>
      <c r="D36" s="646"/>
      <c r="E36" s="647"/>
      <c r="F36" s="7"/>
      <c r="G36" s="4"/>
      <c r="H36" s="8"/>
      <c r="I36" s="62"/>
      <c r="J36" s="643">
        <v>101</v>
      </c>
      <c r="K36" s="545"/>
      <c r="L36" s="19">
        <v>102</v>
      </c>
      <c r="N36" s="533"/>
      <c r="O36" s="533"/>
    </row>
    <row r="37" spans="2:21" ht="16.5">
      <c r="B37" s="535" t="s">
        <v>216</v>
      </c>
      <c r="C37" s="536"/>
      <c r="D37" s="644" t="s">
        <v>247</v>
      </c>
      <c r="E37" s="645"/>
      <c r="F37" s="7"/>
      <c r="G37" s="70"/>
      <c r="H37" s="7"/>
      <c r="I37" s="25">
        <v>28</v>
      </c>
      <c r="J37" s="641" t="e">
        <f>#REF!</f>
        <v>#REF!</v>
      </c>
      <c r="K37" s="550"/>
      <c r="L37" s="11" t="e">
        <f t="shared" ref="L37" si="4">J37</f>
        <v>#REF!</v>
      </c>
      <c r="N37" s="525">
        <f t="shared" ref="N37" si="5">I37*G37</f>
        <v>0</v>
      </c>
      <c r="O37" s="525"/>
      <c r="P37" s="24"/>
      <c r="U37" s="1" t="s">
        <v>182</v>
      </c>
    </row>
    <row r="38" spans="2:21" ht="16.5">
      <c r="B38" s="535" t="s">
        <v>207</v>
      </c>
      <c r="C38" s="536"/>
      <c r="D38" s="644" t="s">
        <v>285</v>
      </c>
      <c r="E38" s="645"/>
      <c r="F38" s="7"/>
      <c r="G38" s="70"/>
      <c r="H38" s="7"/>
      <c r="I38" s="25">
        <v>3.5</v>
      </c>
      <c r="J38" s="641" t="e">
        <f>#REF!</f>
        <v>#REF!</v>
      </c>
      <c r="K38" s="550"/>
      <c r="L38" s="11" t="e">
        <f>J38</f>
        <v>#REF!</v>
      </c>
      <c r="N38" s="525">
        <f>I38*G38</f>
        <v>0</v>
      </c>
      <c r="O38" s="525"/>
      <c r="P38" s="24"/>
    </row>
    <row r="39" spans="2:21" ht="16.5" hidden="1">
      <c r="B39" s="535"/>
      <c r="C39" s="536"/>
      <c r="D39" s="644"/>
      <c r="E39" s="645"/>
      <c r="F39" s="7"/>
      <c r="G39" s="70"/>
      <c r="H39" s="7"/>
      <c r="I39" s="25"/>
      <c r="J39" s="641"/>
      <c r="K39" s="550"/>
      <c r="L39" s="11"/>
      <c r="N39" s="525"/>
      <c r="O39" s="525"/>
      <c r="P39" s="24"/>
    </row>
    <row r="40" spans="2:21" ht="16.5">
      <c r="B40" s="535" t="s">
        <v>209</v>
      </c>
      <c r="C40" s="536"/>
      <c r="D40" s="644" t="s">
        <v>213</v>
      </c>
      <c r="E40" s="645"/>
      <c r="F40" s="7"/>
      <c r="G40" s="70"/>
      <c r="H40" s="7"/>
      <c r="I40" s="25">
        <v>10</v>
      </c>
      <c r="J40" s="641" t="e">
        <f>#REF!</f>
        <v>#REF!</v>
      </c>
      <c r="K40" s="550"/>
      <c r="L40" s="11" t="e">
        <f t="shared" ref="L40" si="6">J40</f>
        <v>#REF!</v>
      </c>
      <c r="N40" s="525">
        <f t="shared" ref="N40" si="7">I40*G40</f>
        <v>0</v>
      </c>
      <c r="O40" s="525"/>
      <c r="P40" s="24"/>
      <c r="U40" s="1" t="s">
        <v>182</v>
      </c>
    </row>
    <row r="41" spans="2:21" ht="16.5">
      <c r="B41" s="535" t="s">
        <v>284</v>
      </c>
      <c r="C41" s="536"/>
      <c r="D41" s="644" t="s">
        <v>212</v>
      </c>
      <c r="E41" s="645"/>
      <c r="F41" s="7"/>
      <c r="G41" s="70"/>
      <c r="H41" s="7"/>
      <c r="I41" s="25">
        <v>16</v>
      </c>
      <c r="J41" s="641" t="e">
        <f>#REF!</f>
        <v>#REF!</v>
      </c>
      <c r="K41" s="550"/>
      <c r="L41" s="11" t="e">
        <f t="shared" ref="L41" si="8">J41</f>
        <v>#REF!</v>
      </c>
      <c r="N41" s="525">
        <f t="shared" ref="N41" si="9">I41*G41</f>
        <v>0</v>
      </c>
      <c r="O41" s="525"/>
      <c r="P41" s="24"/>
      <c r="U41" s="1" t="s">
        <v>182</v>
      </c>
    </row>
    <row r="42" spans="2:21" ht="16.5">
      <c r="B42" s="535" t="s">
        <v>210</v>
      </c>
      <c r="C42" s="536"/>
      <c r="D42" s="644" t="s">
        <v>211</v>
      </c>
      <c r="E42" s="645"/>
      <c r="F42" s="7"/>
      <c r="G42" s="70"/>
      <c r="H42" s="7"/>
      <c r="I42" s="25">
        <v>56</v>
      </c>
      <c r="J42" s="641" t="e">
        <f>#REF!</f>
        <v>#REF!</v>
      </c>
      <c r="K42" s="550"/>
      <c r="L42" s="11" t="e">
        <f t="shared" ref="L42:L45" si="10">J42</f>
        <v>#REF!</v>
      </c>
      <c r="N42" s="525">
        <f t="shared" ref="N42:N45" si="11">I42*G42</f>
        <v>0</v>
      </c>
      <c r="O42" s="525"/>
      <c r="P42" s="24"/>
      <c r="U42" s="1" t="s">
        <v>182</v>
      </c>
    </row>
    <row r="43" spans="2:21" ht="16.5">
      <c r="B43" s="535" t="s">
        <v>446</v>
      </c>
      <c r="C43" s="536"/>
      <c r="D43" s="644" t="s">
        <v>248</v>
      </c>
      <c r="E43" s="645"/>
      <c r="F43" s="7"/>
      <c r="G43" s="70"/>
      <c r="H43" s="7"/>
      <c r="I43" s="25">
        <v>8</v>
      </c>
      <c r="J43" s="641" t="e">
        <f>#REF!</f>
        <v>#REF!</v>
      </c>
      <c r="K43" s="550"/>
      <c r="L43" s="11" t="e">
        <f t="shared" si="10"/>
        <v>#REF!</v>
      </c>
      <c r="N43" s="525">
        <f t="shared" si="11"/>
        <v>0</v>
      </c>
      <c r="O43" s="525"/>
      <c r="P43" s="24"/>
      <c r="U43" s="1" t="s">
        <v>182</v>
      </c>
    </row>
    <row r="44" spans="2:21" ht="16.5">
      <c r="B44" s="535" t="s">
        <v>214</v>
      </c>
      <c r="C44" s="536"/>
      <c r="D44" s="644" t="s">
        <v>248</v>
      </c>
      <c r="E44" s="645"/>
      <c r="F44" s="7"/>
      <c r="G44" s="70"/>
      <c r="H44" s="7"/>
      <c r="I44" s="25">
        <v>12</v>
      </c>
      <c r="J44" s="641" t="e">
        <f>#REF!</f>
        <v>#REF!</v>
      </c>
      <c r="K44" s="550"/>
      <c r="L44" s="11" t="e">
        <f t="shared" si="10"/>
        <v>#REF!</v>
      </c>
      <c r="N44" s="525">
        <f t="shared" si="11"/>
        <v>0</v>
      </c>
      <c r="O44" s="525"/>
      <c r="P44" s="24"/>
      <c r="U44" s="1" t="s">
        <v>182</v>
      </c>
    </row>
    <row r="45" spans="2:21" ht="16.5">
      <c r="B45" s="535" t="s">
        <v>215</v>
      </c>
      <c r="C45" s="536"/>
      <c r="D45" s="644" t="s">
        <v>248</v>
      </c>
      <c r="E45" s="645"/>
      <c r="F45" s="7"/>
      <c r="G45" s="70"/>
      <c r="H45" s="7"/>
      <c r="I45" s="25">
        <v>20</v>
      </c>
      <c r="J45" s="641" t="e">
        <f>#REF!</f>
        <v>#REF!</v>
      </c>
      <c r="K45" s="550"/>
      <c r="L45" s="11" t="e">
        <f t="shared" si="10"/>
        <v>#REF!</v>
      </c>
      <c r="N45" s="525">
        <f t="shared" si="11"/>
        <v>0</v>
      </c>
      <c r="O45" s="525"/>
      <c r="P45" s="24"/>
      <c r="U45" s="1" t="s">
        <v>182</v>
      </c>
    </row>
    <row r="46" spans="2:21" ht="16.5" hidden="1">
      <c r="B46" s="535" t="s">
        <v>264</v>
      </c>
      <c r="C46" s="536"/>
      <c r="D46" s="644" t="s">
        <v>265</v>
      </c>
      <c r="E46" s="645"/>
      <c r="F46" s="7"/>
      <c r="G46" s="70"/>
      <c r="H46" s="7"/>
      <c r="I46" s="25">
        <v>0.7</v>
      </c>
      <c r="J46" s="641" t="e">
        <f>#REF!</f>
        <v>#REF!</v>
      </c>
      <c r="K46" s="550"/>
      <c r="L46" s="11" t="e">
        <f t="shared" ref="L46:L47" si="12">J46</f>
        <v>#REF!</v>
      </c>
      <c r="N46" s="525">
        <f t="shared" ref="N46:N47" si="13">I46*G46</f>
        <v>0</v>
      </c>
      <c r="O46" s="525"/>
      <c r="P46" s="24"/>
      <c r="U46" s="1" t="s">
        <v>182</v>
      </c>
    </row>
    <row r="47" spans="2:21" ht="16.5" hidden="1">
      <c r="B47" s="535" t="s">
        <v>289</v>
      </c>
      <c r="C47" s="536"/>
      <c r="D47" s="644" t="s">
        <v>266</v>
      </c>
      <c r="E47" s="645"/>
      <c r="F47" s="7"/>
      <c r="G47" s="70"/>
      <c r="H47" s="7"/>
      <c r="I47" s="25">
        <v>1.2</v>
      </c>
      <c r="J47" s="641" t="e">
        <f>#REF!</f>
        <v>#REF!</v>
      </c>
      <c r="K47" s="550"/>
      <c r="L47" s="11" t="e">
        <f t="shared" si="12"/>
        <v>#REF!</v>
      </c>
      <c r="N47" s="525">
        <f t="shared" si="13"/>
        <v>0</v>
      </c>
      <c r="O47" s="525"/>
      <c r="P47" s="24"/>
      <c r="U47" s="1" t="s">
        <v>182</v>
      </c>
    </row>
    <row r="48" spans="2:21" ht="16.5" hidden="1">
      <c r="B48" s="535"/>
      <c r="C48" s="536"/>
      <c r="D48" s="644"/>
      <c r="E48" s="645"/>
      <c r="F48" s="7"/>
      <c r="G48" s="70"/>
      <c r="H48" s="7"/>
      <c r="I48" s="25"/>
      <c r="J48" s="641"/>
      <c r="K48" s="550"/>
      <c r="L48" s="11"/>
      <c r="N48" s="525"/>
      <c r="O48" s="525"/>
      <c r="P48" s="24"/>
    </row>
    <row r="49" spans="2:16" ht="16.5" hidden="1">
      <c r="B49" s="535"/>
      <c r="C49" s="536"/>
      <c r="D49" s="644"/>
      <c r="E49" s="645"/>
      <c r="F49" s="7"/>
      <c r="G49" s="70"/>
      <c r="H49" s="7"/>
      <c r="I49" s="25"/>
      <c r="J49" s="641"/>
      <c r="K49" s="550"/>
      <c r="L49" s="11"/>
      <c r="N49" s="525"/>
      <c r="O49" s="525"/>
      <c r="P49" s="24"/>
    </row>
    <row r="50" spans="2:16" ht="16.5" hidden="1">
      <c r="B50" s="535"/>
      <c r="C50" s="536"/>
      <c r="D50" s="644"/>
      <c r="E50" s="645"/>
      <c r="F50" s="7"/>
      <c r="G50" s="70"/>
      <c r="H50" s="7"/>
      <c r="I50" s="25"/>
      <c r="J50" s="641"/>
      <c r="K50" s="550"/>
      <c r="L50" s="11"/>
      <c r="N50" s="525"/>
      <c r="O50" s="525"/>
      <c r="P50" s="24"/>
    </row>
  </sheetData>
  <sheetProtection sheet="1" selectLockedCells="1"/>
  <mergeCells count="98">
    <mergeCell ref="B49:C49"/>
    <mergeCell ref="D49:E49"/>
    <mergeCell ref="J49:K49"/>
    <mergeCell ref="N49:O49"/>
    <mergeCell ref="B50:C50"/>
    <mergeCell ref="D50:E50"/>
    <mergeCell ref="J50:K50"/>
    <mergeCell ref="N50:O50"/>
    <mergeCell ref="B47:C47"/>
    <mergeCell ref="D47:E47"/>
    <mergeCell ref="J47:K47"/>
    <mergeCell ref="N47:O47"/>
    <mergeCell ref="B48:C48"/>
    <mergeCell ref="D48:E48"/>
    <mergeCell ref="J48:K48"/>
    <mergeCell ref="N48:O48"/>
    <mergeCell ref="B46:C46"/>
    <mergeCell ref="D46:E46"/>
    <mergeCell ref="J46:K46"/>
    <mergeCell ref="N46:O46"/>
    <mergeCell ref="B7:C7"/>
    <mergeCell ref="J7:K7"/>
    <mergeCell ref="N7:O7"/>
    <mergeCell ref="D7:E7"/>
    <mergeCell ref="B24:C24"/>
    <mergeCell ref="J24:K24"/>
    <mergeCell ref="N24:O24"/>
    <mergeCell ref="D23:E23"/>
    <mergeCell ref="D24:E24"/>
    <mergeCell ref="D22:E22"/>
    <mergeCell ref="N22:O22"/>
    <mergeCell ref="B23:C23"/>
    <mergeCell ref="J23:K23"/>
    <mergeCell ref="N23:O23"/>
    <mergeCell ref="D4:E4"/>
    <mergeCell ref="D5:E5"/>
    <mergeCell ref="D3:E3"/>
    <mergeCell ref="N3:O3"/>
    <mergeCell ref="B4:C4"/>
    <mergeCell ref="J4:K4"/>
    <mergeCell ref="N4:O4"/>
    <mergeCell ref="B6:C6"/>
    <mergeCell ref="J6:K6"/>
    <mergeCell ref="N6:O6"/>
    <mergeCell ref="D6:E6"/>
    <mergeCell ref="B5:C5"/>
    <mergeCell ref="J5:K5"/>
    <mergeCell ref="N5:O5"/>
    <mergeCell ref="N38:O38"/>
    <mergeCell ref="B37:C37"/>
    <mergeCell ref="D37:E37"/>
    <mergeCell ref="B25:C25"/>
    <mergeCell ref="J25:K25"/>
    <mergeCell ref="N25:O25"/>
    <mergeCell ref="B26:C26"/>
    <mergeCell ref="J26:K26"/>
    <mergeCell ref="N26:O26"/>
    <mergeCell ref="D25:E25"/>
    <mergeCell ref="D26:E26"/>
    <mergeCell ref="D35:E35"/>
    <mergeCell ref="N35:O35"/>
    <mergeCell ref="B36:C36"/>
    <mergeCell ref="D36:E36"/>
    <mergeCell ref="J36:K36"/>
    <mergeCell ref="N36:O36"/>
    <mergeCell ref="J37:K37"/>
    <mergeCell ref="N37:O37"/>
    <mergeCell ref="B41:C41"/>
    <mergeCell ref="D41:E41"/>
    <mergeCell ref="J41:K41"/>
    <mergeCell ref="N41:O41"/>
    <mergeCell ref="B39:C39"/>
    <mergeCell ref="D39:E39"/>
    <mergeCell ref="J39:K39"/>
    <mergeCell ref="N39:O39"/>
    <mergeCell ref="B40:C40"/>
    <mergeCell ref="D40:E40"/>
    <mergeCell ref="J40:K40"/>
    <mergeCell ref="N40:O40"/>
    <mergeCell ref="B38:C38"/>
    <mergeCell ref="D38:E38"/>
    <mergeCell ref="B45:C45"/>
    <mergeCell ref="D45:E45"/>
    <mergeCell ref="J45:K45"/>
    <mergeCell ref="J38:K38"/>
    <mergeCell ref="N45:O45"/>
    <mergeCell ref="B42:C42"/>
    <mergeCell ref="D42:E42"/>
    <mergeCell ref="J42:K42"/>
    <mergeCell ref="N42:O42"/>
    <mergeCell ref="B43:C43"/>
    <mergeCell ref="D43:E43"/>
    <mergeCell ref="J43:K43"/>
    <mergeCell ref="N43:O43"/>
    <mergeCell ref="B44:C44"/>
    <mergeCell ref="D44:E44"/>
    <mergeCell ref="J44:K44"/>
    <mergeCell ref="N44:O44"/>
  </mergeCells>
  <conditionalFormatting sqref="B1">
    <cfRule type="expression" dxfId="5" priority="2">
      <formula>$D1&gt;0</formula>
    </cfRule>
  </conditionalFormatting>
  <conditionalFormatting sqref="B5:D7 G5:G7 I5:I7 N5:O7 B24:D26 I24:I26 N24:O26">
    <cfRule type="expression" dxfId="4" priority="48">
      <formula>$G5&gt;0</formula>
    </cfRule>
  </conditionalFormatting>
  <conditionalFormatting sqref="B37:D50">
    <cfRule type="expression" dxfId="3" priority="6">
      <formula>$G37&gt;0</formula>
    </cfRule>
  </conditionalFormatting>
  <conditionalFormatting sqref="G24:G26">
    <cfRule type="expression" dxfId="2" priority="1">
      <formula>$G24&gt;0</formula>
    </cfRule>
  </conditionalFormatting>
  <conditionalFormatting sqref="G37:G50">
    <cfRule type="expression" dxfId="1" priority="3">
      <formula>$G37&gt;0</formula>
    </cfRule>
  </conditionalFormatting>
  <conditionalFormatting sqref="I37:I50 N37:O50">
    <cfRule type="expression" dxfId="0" priority="8">
      <formula>$G37&gt;0</formula>
    </cfRule>
  </conditionalFormatting>
  <dataValidations disablePrompts="1" count="1">
    <dataValidation type="custom" allowBlank="1" showInputMessage="1" showErrorMessage="1" errorTitle="Erro na Quantidade" error="PACOTES COM 25 peças_x000a_Digite 25, 50, 100, 125, 150 ...." sqref="G46:G48" xr:uid="{2DB9F9B6-3649-414E-B152-7763C7260312}">
      <formula1>((INT(G46/25))*(25))=G46</formula1>
    </dataValidation>
  </dataValidations>
  <hyperlinks>
    <hyperlink ref="B1" location="GERAL!A1" display="GERAL" xr:uid="{52583D14-DAEA-45C5-ACA7-00643B18CFDE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4E928-25B6-421A-804E-4F2647A14653}">
  <sheetPr codeName="Planilha111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E3DC2-572B-448A-81E1-E731A7BABFC4}">
  <sheetPr codeName="Planilha10"/>
  <dimension ref="A1:S26"/>
  <sheetViews>
    <sheetView workbookViewId="0">
      <selection activeCell="B3" sqref="B3"/>
    </sheetView>
  </sheetViews>
  <sheetFormatPr defaultColWidth="9.140625" defaultRowHeight="21.75" customHeight="1"/>
  <cols>
    <col min="1" max="1" width="2.140625" style="139" customWidth="1"/>
    <col min="2" max="2" width="46.5703125" style="139" customWidth="1"/>
    <col min="3" max="3" width="23" style="139" customWidth="1"/>
    <col min="4" max="4" width="27" style="139" customWidth="1"/>
    <col min="5" max="5" width="2.140625" style="139" customWidth="1"/>
    <col min="6" max="6" width="9.140625" style="139"/>
    <col min="7" max="18" width="12.140625" style="139" customWidth="1"/>
    <col min="19" max="19" width="1.140625" style="139" customWidth="1"/>
    <col min="20" max="16384" width="9.140625" style="139"/>
  </cols>
  <sheetData>
    <row r="1" spans="1:19" ht="21.75" customHeight="1" thickBot="1">
      <c r="A1" s="181"/>
      <c r="G1" s="156" t="s">
        <v>234</v>
      </c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3"/>
    </row>
    <row r="2" spans="1:19" s="140" customFormat="1" ht="21.75" customHeight="1" thickBot="1">
      <c r="A2" s="153"/>
      <c r="B2" s="149"/>
      <c r="C2" s="149" t="s">
        <v>225</v>
      </c>
      <c r="D2" s="150" t="s">
        <v>226</v>
      </c>
      <c r="E2" s="139"/>
      <c r="F2" s="151"/>
      <c r="G2" s="169"/>
      <c r="H2" s="169"/>
      <c r="I2" s="169"/>
      <c r="J2" s="169"/>
      <c r="K2" s="169"/>
      <c r="L2" s="170"/>
      <c r="M2" s="169"/>
      <c r="N2" s="169"/>
      <c r="O2" s="169"/>
      <c r="P2" s="169"/>
      <c r="Q2" s="169"/>
      <c r="R2" s="169"/>
      <c r="S2" s="151"/>
    </row>
    <row r="3" spans="1:19" s="198" customFormat="1" ht="29.25" customHeight="1">
      <c r="B3" s="205" t="s">
        <v>224</v>
      </c>
      <c r="C3" s="201" t="str">
        <f>TABELA!N2</f>
        <v>Não Selecionado</v>
      </c>
      <c r="D3" s="202">
        <f>TABELA!T5</f>
        <v>0</v>
      </c>
      <c r="F3" s="199"/>
      <c r="G3" s="200"/>
      <c r="H3" s="448" t="s">
        <v>335</v>
      </c>
      <c r="I3" s="449"/>
      <c r="J3" s="449"/>
      <c r="K3" s="449"/>
      <c r="L3" s="450"/>
      <c r="M3" s="200"/>
      <c r="N3" s="200"/>
      <c r="O3" s="200"/>
      <c r="P3" s="200"/>
      <c r="Q3" s="200"/>
      <c r="R3" s="200"/>
      <c r="S3" s="199"/>
    </row>
    <row r="4" spans="1:19" s="198" customFormat="1" ht="29.25" customHeight="1" thickBot="1">
      <c r="B4" s="205" t="s">
        <v>227</v>
      </c>
      <c r="C4" s="201" t="str">
        <f>'FITA ADESIVA'!K8</f>
        <v>Não Selecionado</v>
      </c>
      <c r="D4" s="202">
        <f>'FITA ADESIVA'!Q9</f>
        <v>0</v>
      </c>
      <c r="F4" s="199"/>
      <c r="G4" s="200"/>
      <c r="H4" s="451" t="s">
        <v>336</v>
      </c>
      <c r="I4" s="452"/>
      <c r="J4" s="452"/>
      <c r="K4" s="452"/>
      <c r="L4" s="453"/>
      <c r="M4" s="200"/>
      <c r="N4" s="200"/>
      <c r="O4" s="200"/>
      <c r="P4" s="200"/>
      <c r="Q4" s="200"/>
      <c r="R4" s="200"/>
      <c r="S4" s="199"/>
    </row>
    <row r="5" spans="1:19" s="198" customFormat="1" ht="29.25" customHeight="1">
      <c r="B5" s="205" t="s">
        <v>230</v>
      </c>
      <c r="C5" s="201" t="str">
        <f>'PLASTICO BOLHA'!J2</f>
        <v>Não Selecionado</v>
      </c>
      <c r="D5" s="202">
        <f>'PLASTICO BOLHA'!Q3</f>
        <v>0</v>
      </c>
      <c r="F5" s="199"/>
      <c r="G5" s="200"/>
      <c r="H5" s="339"/>
      <c r="I5" s="339"/>
      <c r="J5" s="339"/>
      <c r="K5" s="339"/>
      <c r="L5" s="339"/>
      <c r="M5" s="200"/>
      <c r="N5" s="200"/>
      <c r="O5" s="200"/>
      <c r="P5" s="200"/>
      <c r="Q5" s="200"/>
      <c r="R5" s="200"/>
      <c r="S5" s="199"/>
    </row>
    <row r="6" spans="1:19" s="198" customFormat="1" ht="29.25" customHeight="1">
      <c r="B6" s="205" t="s">
        <v>228</v>
      </c>
      <c r="C6" s="201" t="str">
        <f>ETIQUETAS!L9</f>
        <v>Não Selecionado</v>
      </c>
      <c r="D6" s="202">
        <f>ETIQUETAS!Q9</f>
        <v>0</v>
      </c>
      <c r="F6" s="199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199"/>
    </row>
    <row r="7" spans="1:19" s="198" customFormat="1" ht="29.25" customHeight="1">
      <c r="B7" s="205" t="s">
        <v>229</v>
      </c>
      <c r="C7" s="201" t="str">
        <f>ENVELOPES!X3</f>
        <v>Não Selecionado</v>
      </c>
      <c r="D7" s="202">
        <f>ENVELOPES!K6+ENVELOPES!S6+ENVELOPES!K26</f>
        <v>0</v>
      </c>
      <c r="F7" s="199"/>
      <c r="G7" s="200"/>
      <c r="H7" s="200"/>
      <c r="I7" s="200"/>
      <c r="J7" s="200" t="s">
        <v>373</v>
      </c>
      <c r="K7" s="200"/>
      <c r="L7" s="200"/>
      <c r="M7" s="200"/>
      <c r="N7" s="200"/>
      <c r="O7" s="200"/>
      <c r="P7" s="200"/>
      <c r="Q7" s="200"/>
      <c r="R7" s="200"/>
      <c r="S7" s="199"/>
    </row>
    <row r="8" spans="1:19" s="198" customFormat="1" ht="29.25" customHeight="1">
      <c r="B8" s="205" t="s">
        <v>231</v>
      </c>
      <c r="C8" s="201" t="str">
        <f>'PAPEL PARDO E PAPELÃO ONDULADO'!G2</f>
        <v>Não Selecionado</v>
      </c>
      <c r="D8" s="202">
        <f>'PAPEL PARDO E PAPELÃO ONDULADO'!B2</f>
        <v>0</v>
      </c>
      <c r="F8" s="199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199"/>
    </row>
    <row r="9" spans="1:19" s="198" customFormat="1" ht="29.25" customHeight="1">
      <c r="B9" s="205" t="s">
        <v>232</v>
      </c>
      <c r="C9" s="201" t="str">
        <f>ACESSORIOS!D2</f>
        <v>Não Selecionado</v>
      </c>
      <c r="D9" s="202">
        <f>ACESSORIOS!B2</f>
        <v>0</v>
      </c>
      <c r="F9" s="199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199"/>
    </row>
    <row r="10" spans="1:19" ht="21.75" customHeight="1">
      <c r="B10" s="205" t="s">
        <v>322</v>
      </c>
      <c r="C10" s="201" t="str">
        <f>SACOLA!P2</f>
        <v>Não Selecionado</v>
      </c>
      <c r="D10" s="202">
        <f>SACOLA!AD4</f>
        <v>0</v>
      </c>
      <c r="F10" s="153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53"/>
    </row>
    <row r="11" spans="1:19" s="143" customFormat="1" ht="21.75" hidden="1" customHeight="1">
      <c r="A11" s="139"/>
      <c r="B11" s="148" t="s">
        <v>233</v>
      </c>
      <c r="C11" s="141" t="s">
        <v>249</v>
      </c>
      <c r="D11" s="142">
        <v>0</v>
      </c>
      <c r="E11" s="139"/>
      <c r="F11" s="152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52"/>
    </row>
    <row r="12" spans="1:19" ht="21.75" customHeight="1">
      <c r="D12" s="144"/>
      <c r="F12" s="153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53"/>
    </row>
    <row r="13" spans="1:19" ht="21.75" customHeight="1">
      <c r="B13" s="145" t="s">
        <v>128</v>
      </c>
      <c r="C13" s="146"/>
      <c r="D13" s="147">
        <f>SUM(D3:D12)</f>
        <v>0</v>
      </c>
      <c r="F13" s="153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53"/>
    </row>
    <row r="14" spans="1:19" ht="21.75" customHeight="1" thickBot="1">
      <c r="F14" s="153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53"/>
    </row>
    <row r="15" spans="1:19" ht="21.75" customHeight="1">
      <c r="B15" s="164"/>
      <c r="C15" s="446" t="s">
        <v>241</v>
      </c>
      <c r="D15" s="447"/>
      <c r="F15" s="153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53"/>
    </row>
    <row r="16" spans="1:19" ht="21.75" customHeight="1">
      <c r="B16" s="165"/>
      <c r="C16" s="158" t="s">
        <v>252</v>
      </c>
      <c r="D16" s="159" t="s">
        <v>253</v>
      </c>
      <c r="F16" s="153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53"/>
    </row>
    <row r="17" spans="2:19" ht="21.75" customHeight="1">
      <c r="B17" s="165"/>
      <c r="C17" s="158" t="s">
        <v>256</v>
      </c>
      <c r="D17" s="159" t="s">
        <v>254</v>
      </c>
      <c r="F17" s="153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53"/>
    </row>
    <row r="18" spans="2:19" ht="21.75" customHeight="1">
      <c r="B18" s="165"/>
      <c r="C18" s="158" t="s">
        <v>257</v>
      </c>
      <c r="D18" s="159" t="s">
        <v>255</v>
      </c>
      <c r="F18" s="153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53"/>
    </row>
    <row r="19" spans="2:19" ht="21.75" customHeight="1">
      <c r="B19" s="165"/>
      <c r="C19" s="160"/>
      <c r="D19" s="159"/>
      <c r="F19" s="153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53"/>
    </row>
    <row r="20" spans="2:19" ht="21.75" customHeight="1">
      <c r="B20" s="165"/>
      <c r="C20" s="160" t="s">
        <v>240</v>
      </c>
      <c r="D20" s="161" t="s">
        <v>250</v>
      </c>
      <c r="F20" s="153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53"/>
    </row>
    <row r="21" spans="2:19" ht="21.75" customHeight="1">
      <c r="B21" s="167" t="s">
        <v>259</v>
      </c>
      <c r="C21" s="160" t="s">
        <v>239</v>
      </c>
      <c r="D21" s="161" t="s">
        <v>251</v>
      </c>
      <c r="F21" s="153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53"/>
    </row>
    <row r="22" spans="2:19" ht="21.75" customHeight="1" thickBot="1">
      <c r="B22" s="166" t="s">
        <v>260</v>
      </c>
      <c r="C22" s="162"/>
      <c r="D22" s="163"/>
      <c r="F22" s="153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53"/>
    </row>
    <row r="23" spans="2:19" ht="21.75" customHeight="1">
      <c r="F23" s="153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53"/>
    </row>
    <row r="24" spans="2:19" ht="21.75" customHeight="1">
      <c r="F24" s="153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53"/>
    </row>
    <row r="25" spans="2:19" ht="21.75" customHeight="1">
      <c r="F25" s="153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53"/>
    </row>
    <row r="26" spans="2:19" ht="21.75" customHeight="1"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</row>
  </sheetData>
  <sheetProtection sheet="1" objects="1" scenarios="1"/>
  <mergeCells count="3">
    <mergeCell ref="C15:D15"/>
    <mergeCell ref="H3:L3"/>
    <mergeCell ref="H4:L4"/>
  </mergeCells>
  <conditionalFormatting sqref="B3:D10">
    <cfRule type="expression" dxfId="148" priority="2">
      <formula>$D3&gt;0</formula>
    </cfRule>
  </conditionalFormatting>
  <conditionalFormatting sqref="B13:D13">
    <cfRule type="expression" dxfId="147" priority="6">
      <formula>$D$13&gt;0</formula>
    </cfRule>
  </conditionalFormatting>
  <conditionalFormatting sqref="C3:C10">
    <cfRule type="cellIs" dxfId="146" priority="1" operator="equal">
      <formula>"Não Selecionado"</formula>
    </cfRule>
  </conditionalFormatting>
  <hyperlinks>
    <hyperlink ref="B11" location="GERAL!A1" display="CAIXA PARA MUDANÇA" xr:uid="{B4C83021-F3D9-41A6-B8EC-4443E5638A42}"/>
    <hyperlink ref="D21" r:id="rId1" xr:uid="{5A3D297E-C1E4-45E9-A79A-ED08670918CE}"/>
    <hyperlink ref="D20" r:id="rId2" xr:uid="{61657BAD-6061-492F-99BE-FC42A613B698}"/>
    <hyperlink ref="B21" r:id="rId3" xr:uid="{BF890FC7-CE46-43E5-84FB-03436261EF8D}"/>
    <hyperlink ref="B3" location="TABELA!B2" display="CAIXAS DE PAPELÃO" xr:uid="{1E093892-0B40-4C6A-80B6-9D33EBB554D8}"/>
    <hyperlink ref="B4" location="'FITA ADESIVA'!B1" display="FITAS ADESIVAS" xr:uid="{E03CD110-352A-4174-9B71-668FA9F055C3}"/>
    <hyperlink ref="B5" location="'PLASTICO BOLHA'!B1" display="PLASTICO BOLHA" xr:uid="{7D744F87-3B12-4B16-BE51-ED571AF85936}"/>
    <hyperlink ref="B6" location="ETIQUETAS!B1" display="ETIQUETAS ADESIVAS" xr:uid="{D0C9D5BE-DC20-448B-A1E1-010F56DA70C1}"/>
    <hyperlink ref="B7" location="ENVELOPES!B1" display="ENVELOPES" xr:uid="{DF707243-1682-4766-A14C-999D3C7EB709}"/>
    <hyperlink ref="B8" location="'PAPEL PARDO E PAPELÃO ONDULADO'!B1" display="PAPEL PARDO E PAPELÃO ONDULADO" xr:uid="{41EE7100-E2E3-4F43-9926-EBD52DBC1D8A}"/>
    <hyperlink ref="B9" location="ACESSORIOS!B1" display="ACESSÓRIOS" xr:uid="{976FCF0C-2DB8-4EB9-9586-633CA7D8C52C}"/>
    <hyperlink ref="B10" location="SACOLA!B1" display="SACOLA DE KRAFT" xr:uid="{E3CF6503-50AF-4627-9D1C-F67515EC0ABC}"/>
    <hyperlink ref="H4" r:id="rId4" xr:uid="{169D0CF1-81DB-4D0C-9792-A3182E4D3216}"/>
  </hyperlinks>
  <pageMargins left="0.511811024" right="0.511811024" top="0.78740157499999996" bottom="0.78740157499999996" header="0.31496062000000002" footer="0.31496062000000002"/>
  <pageSetup paperSize="9" orientation="portrait" r:id="rId5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BE5E4-A7CB-4D6F-8102-F3C0AAB07557}">
  <sheetPr codeName="Planilha2">
    <tabColor rgb="FFFFC000"/>
  </sheetPr>
  <dimension ref="A1:Y240"/>
  <sheetViews>
    <sheetView showGridLines="0" tabSelected="1" zoomScaleNormal="100" workbookViewId="0">
      <pane ySplit="6" topLeftCell="A149" activePane="bottomLeft" state="frozen"/>
      <selection pane="bottomLeft" activeCell="AD152" sqref="AD152"/>
    </sheetView>
  </sheetViews>
  <sheetFormatPr defaultColWidth="9.140625" defaultRowHeight="15.75"/>
  <cols>
    <col min="1" max="1" width="7.85546875" style="442" customWidth="1"/>
    <col min="2" max="2" width="40.7109375" style="1" customWidth="1"/>
    <col min="3" max="5" width="5.140625" style="2" customWidth="1"/>
    <col min="6" max="6" width="1.7109375" style="2" customWidth="1"/>
    <col min="7" max="9" width="3.42578125" style="2" customWidth="1"/>
    <col min="10" max="10" width="1" style="1" customWidth="1"/>
    <col min="11" max="11" width="4" style="208" customWidth="1"/>
    <col min="12" max="12" width="10.28515625" style="1" customWidth="1"/>
    <col min="13" max="13" width="2.140625" style="1" customWidth="1"/>
    <col min="14" max="17" width="9.7109375" style="1" customWidth="1"/>
    <col min="18" max="18" width="10.140625" style="1" customWidth="1"/>
    <col min="19" max="19" width="2.140625" style="1" customWidth="1"/>
    <col min="20" max="20" width="21.85546875" style="1" customWidth="1"/>
    <col min="21" max="21" width="12.7109375" style="210" customWidth="1"/>
    <col min="22" max="22" width="12.7109375" style="211" customWidth="1"/>
    <col min="23" max="23" width="12.7109375" style="212" hidden="1" customWidth="1"/>
    <col min="24" max="24" width="12.7109375" style="213" customWidth="1"/>
    <col min="25" max="25" width="15.85546875" style="214" hidden="1" customWidth="1"/>
    <col min="26" max="27" width="9.140625" style="1" customWidth="1"/>
    <col min="28" max="16384" width="9.140625" style="1"/>
  </cols>
  <sheetData>
    <row r="1" spans="1:25" ht="8.25" customHeight="1">
      <c r="T1" s="209"/>
    </row>
    <row r="2" spans="1:25" ht="27.75" customHeight="1">
      <c r="B2" s="206" t="s">
        <v>296</v>
      </c>
      <c r="G2" s="454" t="s">
        <v>277</v>
      </c>
      <c r="H2" s="454"/>
      <c r="I2" s="455"/>
      <c r="N2" s="456" t="str">
        <f>CHOOSE((1+((COUNT(L:L))&gt;0)+((COUNT(L:L))&gt;1)),"Não Selecionado",(COUNT(L:L))&amp;" Produto",(COUNT(L:L))&amp;" Produtos")</f>
        <v>Não Selecionado</v>
      </c>
      <c r="O2" s="456"/>
      <c r="P2" s="456"/>
      <c r="Q2" s="456"/>
      <c r="R2" s="456"/>
      <c r="T2" s="215">
        <v>45731.448240740741</v>
      </c>
      <c r="V2" s="216"/>
    </row>
    <row r="3" spans="1:25" ht="17.25" customHeight="1">
      <c r="G3" s="460" t="s">
        <v>278</v>
      </c>
      <c r="H3" s="461"/>
      <c r="I3" s="462"/>
      <c r="T3" s="217" t="s">
        <v>280</v>
      </c>
      <c r="V3" s="216"/>
    </row>
    <row r="4" spans="1:25" s="22" customFormat="1" ht="17.25" customHeight="1">
      <c r="A4" s="442"/>
      <c r="C4" s="218"/>
      <c r="D4" s="218"/>
      <c r="E4" s="218"/>
      <c r="F4" s="218"/>
      <c r="G4" s="463" t="s">
        <v>279</v>
      </c>
      <c r="H4" s="464"/>
      <c r="I4" s="465"/>
      <c r="K4" s="219" t="str">
        <f>CHOOSE((M5+1),"MOSTRAR QUANT SELECIONADAS","VOLTAR AO FILTRO")</f>
        <v>MOSTRAR QUANT SELECIONADAS</v>
      </c>
      <c r="L4" s="220"/>
      <c r="M4" s="220"/>
      <c r="N4" s="221"/>
      <c r="O4" s="457" t="s">
        <v>287</v>
      </c>
      <c r="P4" s="458"/>
      <c r="Q4" s="458"/>
      <c r="R4" s="459"/>
      <c r="T4" s="222"/>
      <c r="U4" s="210"/>
      <c r="V4" s="216"/>
      <c r="W4" s="212"/>
      <c r="X4" s="213"/>
      <c r="Y4" s="214"/>
    </row>
    <row r="5" spans="1:25" s="243" customFormat="1" ht="16.5" customHeight="1">
      <c r="A5" s="443" t="s">
        <v>299</v>
      </c>
      <c r="B5" s="223" t="s">
        <v>27</v>
      </c>
      <c r="C5" s="224" t="s">
        <v>5</v>
      </c>
      <c r="D5" s="225" t="s">
        <v>24</v>
      </c>
      <c r="E5" s="226" t="s">
        <v>2</v>
      </c>
      <c r="F5" s="227"/>
      <c r="G5" s="228" t="s">
        <v>30</v>
      </c>
      <c r="H5" s="229" t="s">
        <v>29</v>
      </c>
      <c r="I5" s="230" t="s">
        <v>34</v>
      </c>
      <c r="J5" s="231"/>
      <c r="K5" s="232" t="s">
        <v>33</v>
      </c>
      <c r="L5" s="233"/>
      <c r="M5" s="234">
        <v>0</v>
      </c>
      <c r="N5" s="235" t="s">
        <v>286</v>
      </c>
      <c r="O5" s="235" t="s">
        <v>267</v>
      </c>
      <c r="P5" s="235" t="s">
        <v>268</v>
      </c>
      <c r="Q5" s="235" t="s">
        <v>269</v>
      </c>
      <c r="R5" s="235" t="s">
        <v>270</v>
      </c>
      <c r="S5" s="236"/>
      <c r="T5" s="237">
        <f>SUM(T7:T9835)</f>
        <v>0</v>
      </c>
      <c r="U5" s="238" t="s">
        <v>0</v>
      </c>
      <c r="V5" s="239" t="s">
        <v>282</v>
      </c>
      <c r="W5" s="240"/>
      <c r="X5" s="241" t="s">
        <v>281</v>
      </c>
      <c r="Y5" s="242" t="s">
        <v>283</v>
      </c>
    </row>
    <row r="6" spans="1:25" s="121" customFormat="1" ht="15.75" customHeight="1">
      <c r="A6" s="444"/>
      <c r="B6" s="244" t="s">
        <v>182</v>
      </c>
      <c r="C6" s="245" t="s">
        <v>5</v>
      </c>
      <c r="D6" s="246" t="s">
        <v>24</v>
      </c>
      <c r="E6" s="246" t="s">
        <v>2</v>
      </c>
      <c r="F6" s="246"/>
      <c r="G6" s="247" t="s">
        <v>30</v>
      </c>
      <c r="H6" s="247" t="s">
        <v>29</v>
      </c>
      <c r="I6" s="247" t="s">
        <v>34</v>
      </c>
      <c r="J6" s="248"/>
      <c r="K6" s="249"/>
      <c r="L6" s="250" t="s">
        <v>158</v>
      </c>
      <c r="M6" s="251"/>
      <c r="N6" s="252">
        <v>25</v>
      </c>
      <c r="O6" s="252">
        <v>100</v>
      </c>
      <c r="P6" s="252">
        <v>250</v>
      </c>
      <c r="Q6" s="252">
        <v>500</v>
      </c>
      <c r="R6" s="252">
        <v>1000</v>
      </c>
      <c r="S6" s="253"/>
      <c r="T6" s="254"/>
      <c r="U6" s="255"/>
      <c r="V6" s="256"/>
      <c r="W6" s="257"/>
      <c r="X6" s="258"/>
      <c r="Y6" s="259"/>
    </row>
    <row r="7" spans="1:25" ht="16.5">
      <c r="A7" s="445" t="s">
        <v>300</v>
      </c>
      <c r="B7" s="434" t="s">
        <v>275</v>
      </c>
      <c r="C7" s="435">
        <v>6</v>
      </c>
      <c r="D7" s="435">
        <v>6</v>
      </c>
      <c r="E7" s="435">
        <v>36</v>
      </c>
      <c r="F7" s="434" t="s">
        <v>25</v>
      </c>
      <c r="G7" s="434" t="s">
        <v>3</v>
      </c>
      <c r="H7" s="434" t="s">
        <v>7</v>
      </c>
      <c r="I7" s="434" t="s">
        <v>1</v>
      </c>
      <c r="J7" s="434" t="s">
        <v>25</v>
      </c>
      <c r="K7" s="435">
        <v>25</v>
      </c>
      <c r="L7" s="435"/>
      <c r="M7" s="434" t="s">
        <v>25</v>
      </c>
      <c r="N7" s="436">
        <v>1.2</v>
      </c>
      <c r="O7" s="436">
        <v>1.17</v>
      </c>
      <c r="P7" s="436">
        <v>1.1399999999999999</v>
      </c>
      <c r="Q7" s="436">
        <v>1.1100000000000001</v>
      </c>
      <c r="R7" s="436">
        <v>1.08</v>
      </c>
      <c r="S7" s="260"/>
      <c r="T7" s="261">
        <f t="shared" ref="T7:T30" si="0">(CHOOSE(((($L7&gt;=(0))+($L7&gt;=($O$6))+($L7&gt;=($P$6))+($L7&gt;=($Q$6))+($L7&gt;=($R$6)))),N7,O7,P7,Q7,R7))*L7</f>
        <v>0</v>
      </c>
      <c r="U7" s="437">
        <v>50</v>
      </c>
      <c r="V7" s="438">
        <v>400.96230954290297</v>
      </c>
      <c r="W7" s="439">
        <v>3.3</v>
      </c>
      <c r="X7" s="440">
        <v>1296</v>
      </c>
      <c r="Y7" s="262">
        <f t="shared" ref="Y7:Y30" si="1">(C7*D7*E7)-X7</f>
        <v>0</v>
      </c>
    </row>
    <row r="8" spans="1:25" ht="16.5">
      <c r="A8" s="445" t="s">
        <v>300</v>
      </c>
      <c r="B8" s="434" t="s">
        <v>6</v>
      </c>
      <c r="C8" s="435">
        <v>7</v>
      </c>
      <c r="D8" s="435">
        <v>7</v>
      </c>
      <c r="E8" s="435">
        <v>4</v>
      </c>
      <c r="F8" s="434" t="s">
        <v>25</v>
      </c>
      <c r="G8" s="434" t="s">
        <v>3</v>
      </c>
      <c r="H8" s="434" t="s">
        <v>2</v>
      </c>
      <c r="I8" s="434" t="s">
        <v>1</v>
      </c>
      <c r="J8" s="434" t="s">
        <v>25</v>
      </c>
      <c r="K8" s="435">
        <v>25</v>
      </c>
      <c r="L8" s="435"/>
      <c r="M8" s="434" t="s">
        <v>25</v>
      </c>
      <c r="N8" s="436">
        <v>0.68</v>
      </c>
      <c r="O8" s="436">
        <v>0.66</v>
      </c>
      <c r="P8" s="436">
        <v>0.65</v>
      </c>
      <c r="Q8" s="436">
        <v>0.63</v>
      </c>
      <c r="R8" s="436">
        <v>0.61</v>
      </c>
      <c r="S8" s="260"/>
      <c r="T8" s="261">
        <f t="shared" si="0"/>
        <v>0</v>
      </c>
      <c r="U8" s="437">
        <v>15</v>
      </c>
      <c r="V8" s="438">
        <v>378.78787878787875</v>
      </c>
      <c r="W8" s="439">
        <v>3.3</v>
      </c>
      <c r="X8" s="440">
        <v>196</v>
      </c>
      <c r="Y8" s="262">
        <f t="shared" si="1"/>
        <v>0</v>
      </c>
    </row>
    <row r="9" spans="1:25" ht="16.5">
      <c r="A9" s="445" t="s">
        <v>300</v>
      </c>
      <c r="B9" s="434" t="s">
        <v>35</v>
      </c>
      <c r="C9" s="435">
        <v>8</v>
      </c>
      <c r="D9" s="435">
        <v>8</v>
      </c>
      <c r="E9" s="435">
        <v>8</v>
      </c>
      <c r="F9" s="434" t="s">
        <v>25</v>
      </c>
      <c r="G9" s="434" t="s">
        <v>3</v>
      </c>
      <c r="H9" s="434" t="s">
        <v>2</v>
      </c>
      <c r="I9" s="434" t="s">
        <v>1</v>
      </c>
      <c r="J9" s="434" t="s">
        <v>25</v>
      </c>
      <c r="K9" s="435">
        <v>25</v>
      </c>
      <c r="L9" s="435"/>
      <c r="M9" s="434" t="s">
        <v>25</v>
      </c>
      <c r="N9" s="436">
        <v>0.88</v>
      </c>
      <c r="O9" s="436">
        <v>0.86</v>
      </c>
      <c r="P9" s="436">
        <v>0.84</v>
      </c>
      <c r="Q9" s="436">
        <v>0.81</v>
      </c>
      <c r="R9" s="436">
        <v>0.79</v>
      </c>
      <c r="S9" s="260"/>
      <c r="T9" s="261">
        <f t="shared" si="0"/>
        <v>0</v>
      </c>
      <c r="U9" s="437">
        <v>25</v>
      </c>
      <c r="V9" s="438">
        <v>397.45627980922097</v>
      </c>
      <c r="W9" s="439">
        <v>3.3</v>
      </c>
      <c r="X9" s="440">
        <v>512</v>
      </c>
      <c r="Y9" s="262">
        <f t="shared" si="1"/>
        <v>0</v>
      </c>
    </row>
    <row r="10" spans="1:25" ht="16.5">
      <c r="A10" s="445" t="s">
        <v>300</v>
      </c>
      <c r="B10" s="434" t="s">
        <v>36</v>
      </c>
      <c r="C10" s="435">
        <v>8</v>
      </c>
      <c r="D10" s="435">
        <v>8</v>
      </c>
      <c r="E10" s="435">
        <v>60</v>
      </c>
      <c r="F10" s="434" t="s">
        <v>25</v>
      </c>
      <c r="G10" s="434" t="s">
        <v>3</v>
      </c>
      <c r="H10" s="434" t="s">
        <v>7</v>
      </c>
      <c r="I10" s="434" t="s">
        <v>1</v>
      </c>
      <c r="J10" s="434" t="s">
        <v>25</v>
      </c>
      <c r="K10" s="435">
        <v>25</v>
      </c>
      <c r="L10" s="435"/>
      <c r="M10" s="434" t="s">
        <v>25</v>
      </c>
      <c r="N10" s="436">
        <v>2</v>
      </c>
      <c r="O10" s="436">
        <v>1.95</v>
      </c>
      <c r="P10" s="436">
        <v>1.9</v>
      </c>
      <c r="Q10" s="436">
        <v>1.85</v>
      </c>
      <c r="R10" s="436">
        <v>1.8</v>
      </c>
      <c r="S10" s="260"/>
      <c r="T10" s="261">
        <f t="shared" si="0"/>
        <v>0</v>
      </c>
      <c r="U10" s="437">
        <v>135</v>
      </c>
      <c r="V10" s="438">
        <v>528.78965922444172</v>
      </c>
      <c r="W10" s="439">
        <v>3.3</v>
      </c>
      <c r="X10" s="440">
        <v>3840</v>
      </c>
      <c r="Y10" s="262">
        <f t="shared" si="1"/>
        <v>0</v>
      </c>
    </row>
    <row r="11" spans="1:25" ht="16.5">
      <c r="A11" s="445" t="s">
        <v>300</v>
      </c>
      <c r="B11" s="434" t="s">
        <v>37</v>
      </c>
      <c r="C11" s="435">
        <v>8</v>
      </c>
      <c r="D11" s="435">
        <v>8</v>
      </c>
      <c r="E11" s="435">
        <v>104</v>
      </c>
      <c r="F11" s="434" t="s">
        <v>25</v>
      </c>
      <c r="G11" s="434" t="s">
        <v>3</v>
      </c>
      <c r="H11" s="434" t="s">
        <v>7</v>
      </c>
      <c r="I11" s="434" t="s">
        <v>1</v>
      </c>
      <c r="J11" s="434" t="s">
        <v>25</v>
      </c>
      <c r="K11" s="435">
        <v>25</v>
      </c>
      <c r="L11" s="435"/>
      <c r="M11" s="434" t="s">
        <v>25</v>
      </c>
      <c r="N11" s="436">
        <v>3.2</v>
      </c>
      <c r="O11" s="436">
        <v>3.12</v>
      </c>
      <c r="P11" s="436">
        <v>3.04</v>
      </c>
      <c r="Q11" s="436">
        <v>2.96</v>
      </c>
      <c r="R11" s="436">
        <v>2.88</v>
      </c>
      <c r="S11" s="260"/>
      <c r="T11" s="261">
        <f t="shared" si="0"/>
        <v>0</v>
      </c>
      <c r="U11" s="437">
        <v>185</v>
      </c>
      <c r="V11" s="438">
        <v>442.47787610619469</v>
      </c>
      <c r="W11" s="439">
        <v>3.3</v>
      </c>
      <c r="X11" s="440">
        <v>6656</v>
      </c>
      <c r="Y11" s="262">
        <f t="shared" si="1"/>
        <v>0</v>
      </c>
    </row>
    <row r="12" spans="1:25" ht="16.5">
      <c r="A12" s="445" t="s">
        <v>300</v>
      </c>
      <c r="B12" s="434" t="s">
        <v>8</v>
      </c>
      <c r="C12" s="435">
        <v>10</v>
      </c>
      <c r="D12" s="435">
        <v>10</v>
      </c>
      <c r="E12" s="435">
        <v>4</v>
      </c>
      <c r="F12" s="434" t="s">
        <v>25</v>
      </c>
      <c r="G12" s="434" t="s">
        <v>3</v>
      </c>
      <c r="H12" s="434" t="s">
        <v>2</v>
      </c>
      <c r="I12" s="434" t="s">
        <v>1</v>
      </c>
      <c r="J12" s="434" t="s">
        <v>25</v>
      </c>
      <c r="K12" s="435">
        <v>25</v>
      </c>
      <c r="L12" s="435"/>
      <c r="M12" s="434" t="s">
        <v>25</v>
      </c>
      <c r="N12" s="436">
        <v>0.88</v>
      </c>
      <c r="O12" s="436">
        <v>0.86</v>
      </c>
      <c r="P12" s="436">
        <v>0.84</v>
      </c>
      <c r="Q12" s="436">
        <v>0.81</v>
      </c>
      <c r="R12" s="436">
        <v>0.79</v>
      </c>
      <c r="S12" s="260"/>
      <c r="T12" s="261">
        <f t="shared" si="0"/>
        <v>0</v>
      </c>
      <c r="U12" s="437">
        <v>25</v>
      </c>
      <c r="V12" s="438">
        <v>370.37037037037032</v>
      </c>
      <c r="W12" s="439">
        <v>3.3</v>
      </c>
      <c r="X12" s="440">
        <v>400</v>
      </c>
      <c r="Y12" s="262">
        <f t="shared" si="1"/>
        <v>0</v>
      </c>
    </row>
    <row r="13" spans="1:25" ht="16.5">
      <c r="A13" s="445" t="s">
        <v>25</v>
      </c>
      <c r="B13" s="434" t="s">
        <v>376</v>
      </c>
      <c r="C13" s="435">
        <v>11</v>
      </c>
      <c r="D13" s="435">
        <v>11</v>
      </c>
      <c r="E13" s="435">
        <v>6</v>
      </c>
      <c r="F13" s="434" t="s">
        <v>25</v>
      </c>
      <c r="G13" s="434" t="s">
        <v>3</v>
      </c>
      <c r="H13" s="434" t="s">
        <v>2</v>
      </c>
      <c r="I13" s="434" t="s">
        <v>1</v>
      </c>
      <c r="J13" s="434" t="s">
        <v>25</v>
      </c>
      <c r="K13" s="435">
        <v>25</v>
      </c>
      <c r="L13" s="435"/>
      <c r="M13" s="434" t="s">
        <v>25</v>
      </c>
      <c r="N13" s="436">
        <v>1.32</v>
      </c>
      <c r="O13" s="436">
        <v>1.29</v>
      </c>
      <c r="P13" s="436">
        <v>1.25</v>
      </c>
      <c r="Q13" s="436">
        <v>1.22</v>
      </c>
      <c r="R13" s="436">
        <v>1.19</v>
      </c>
      <c r="S13" s="260"/>
      <c r="T13" s="261">
        <f t="shared" si="0"/>
        <v>0</v>
      </c>
      <c r="U13" s="437">
        <v>35</v>
      </c>
      <c r="V13" s="438">
        <v>396.82539682539681</v>
      </c>
      <c r="W13" s="439">
        <v>3.3</v>
      </c>
      <c r="X13" s="440">
        <v>726</v>
      </c>
      <c r="Y13" s="262">
        <f t="shared" si="1"/>
        <v>0</v>
      </c>
    </row>
    <row r="14" spans="1:25" ht="16.5">
      <c r="A14" s="445" t="s">
        <v>25</v>
      </c>
      <c r="B14" s="434" t="s">
        <v>377</v>
      </c>
      <c r="C14" s="435">
        <v>11</v>
      </c>
      <c r="D14" s="435">
        <v>11</v>
      </c>
      <c r="E14" s="435">
        <v>24</v>
      </c>
      <c r="F14" s="434" t="s">
        <v>25</v>
      </c>
      <c r="G14" s="434" t="s">
        <v>3</v>
      </c>
      <c r="H14" s="434" t="s">
        <v>5</v>
      </c>
      <c r="I14" s="434" t="s">
        <v>1</v>
      </c>
      <c r="J14" s="434" t="s">
        <v>25</v>
      </c>
      <c r="K14" s="435">
        <v>1</v>
      </c>
      <c r="L14" s="435"/>
      <c r="M14" s="434" t="s">
        <v>25</v>
      </c>
      <c r="N14" s="436">
        <v>1.96</v>
      </c>
      <c r="O14" s="436">
        <v>1.91</v>
      </c>
      <c r="P14" s="436">
        <v>1.86</v>
      </c>
      <c r="Q14" s="436">
        <v>1.81</v>
      </c>
      <c r="R14" s="436">
        <v>1.76</v>
      </c>
      <c r="S14" s="260"/>
      <c r="T14" s="261">
        <f t="shared" si="0"/>
        <v>0</v>
      </c>
      <c r="U14" s="437">
        <v>68</v>
      </c>
      <c r="V14" s="438">
        <v>385.4875283446712</v>
      </c>
      <c r="W14" s="439">
        <v>0</v>
      </c>
      <c r="X14" s="440">
        <v>2904</v>
      </c>
      <c r="Y14" s="262">
        <f t="shared" si="1"/>
        <v>0</v>
      </c>
    </row>
    <row r="15" spans="1:25" ht="16.5">
      <c r="A15" s="445" t="s">
        <v>300</v>
      </c>
      <c r="B15" s="434" t="s">
        <v>38</v>
      </c>
      <c r="C15" s="435">
        <v>11</v>
      </c>
      <c r="D15" s="435">
        <v>11</v>
      </c>
      <c r="E15" s="435">
        <v>39</v>
      </c>
      <c r="F15" s="434" t="s">
        <v>25</v>
      </c>
      <c r="G15" s="434" t="s">
        <v>3</v>
      </c>
      <c r="H15" s="434" t="s">
        <v>7</v>
      </c>
      <c r="I15" s="434" t="s">
        <v>1</v>
      </c>
      <c r="J15" s="434" t="s">
        <v>25</v>
      </c>
      <c r="K15" s="435">
        <v>25</v>
      </c>
      <c r="L15" s="435"/>
      <c r="M15" s="434" t="s">
        <v>25</v>
      </c>
      <c r="N15" s="436">
        <v>2</v>
      </c>
      <c r="O15" s="436">
        <v>1.95</v>
      </c>
      <c r="P15" s="436">
        <v>1.9</v>
      </c>
      <c r="Q15" s="436">
        <v>1.85</v>
      </c>
      <c r="R15" s="436">
        <v>1.8</v>
      </c>
      <c r="S15" s="260"/>
      <c r="T15" s="261">
        <f t="shared" si="0"/>
        <v>0</v>
      </c>
      <c r="U15" s="437">
        <v>120</v>
      </c>
      <c r="V15" s="438">
        <v>480.19207683073228</v>
      </c>
      <c r="W15" s="439">
        <v>3.3</v>
      </c>
      <c r="X15" s="440">
        <v>4719</v>
      </c>
      <c r="Y15" s="262">
        <f t="shared" si="1"/>
        <v>0</v>
      </c>
    </row>
    <row r="16" spans="1:25" ht="16.5">
      <c r="A16" s="445" t="s">
        <v>300</v>
      </c>
      <c r="B16" s="434" t="s">
        <v>9</v>
      </c>
      <c r="C16" s="435">
        <v>12</v>
      </c>
      <c r="D16" s="435">
        <v>3</v>
      </c>
      <c r="E16" s="435">
        <v>45</v>
      </c>
      <c r="F16" s="434" t="s">
        <v>25</v>
      </c>
      <c r="G16" s="434" t="s">
        <v>3</v>
      </c>
      <c r="H16" s="434" t="s">
        <v>7</v>
      </c>
      <c r="I16" s="434" t="s">
        <v>1</v>
      </c>
      <c r="J16" s="434" t="s">
        <v>25</v>
      </c>
      <c r="K16" s="435">
        <v>25</v>
      </c>
      <c r="L16" s="435"/>
      <c r="M16" s="434" t="s">
        <v>25</v>
      </c>
      <c r="N16" s="436">
        <v>1.48</v>
      </c>
      <c r="O16" s="436">
        <v>1.44</v>
      </c>
      <c r="P16" s="436">
        <v>1.41</v>
      </c>
      <c r="Q16" s="436">
        <v>1.37</v>
      </c>
      <c r="R16" s="436">
        <v>1.33</v>
      </c>
      <c r="S16" s="260"/>
      <c r="T16" s="261">
        <f t="shared" si="0"/>
        <v>0</v>
      </c>
      <c r="U16" s="437">
        <v>60</v>
      </c>
      <c r="V16" s="438">
        <v>349.8542274052478</v>
      </c>
      <c r="W16" s="439">
        <v>3.3</v>
      </c>
      <c r="X16" s="440">
        <v>1620</v>
      </c>
      <c r="Y16" s="262">
        <f t="shared" si="1"/>
        <v>0</v>
      </c>
    </row>
    <row r="17" spans="1:25" ht="16.5">
      <c r="A17" s="445" t="s">
        <v>300</v>
      </c>
      <c r="B17" s="434" t="s">
        <v>304</v>
      </c>
      <c r="C17" s="435">
        <v>12</v>
      </c>
      <c r="D17" s="435">
        <v>8</v>
      </c>
      <c r="E17" s="435">
        <v>8</v>
      </c>
      <c r="F17" s="434" t="s">
        <v>25</v>
      </c>
      <c r="G17" s="434" t="s">
        <v>3</v>
      </c>
      <c r="H17" s="434" t="s">
        <v>2</v>
      </c>
      <c r="I17" s="434" t="s">
        <v>1</v>
      </c>
      <c r="J17" s="434" t="s">
        <v>25</v>
      </c>
      <c r="K17" s="435">
        <v>25</v>
      </c>
      <c r="L17" s="435"/>
      <c r="M17" s="434" t="s">
        <v>25</v>
      </c>
      <c r="N17" s="436">
        <v>0.96</v>
      </c>
      <c r="O17" s="436">
        <v>0.94</v>
      </c>
      <c r="P17" s="436">
        <v>0.91</v>
      </c>
      <c r="Q17" s="436">
        <v>0.89</v>
      </c>
      <c r="R17" s="436">
        <v>0.86</v>
      </c>
      <c r="S17" s="260"/>
      <c r="T17" s="261">
        <f t="shared" si="0"/>
        <v>0</v>
      </c>
      <c r="U17" s="437">
        <v>28</v>
      </c>
      <c r="V17" s="438">
        <v>366.01307189542484</v>
      </c>
      <c r="W17" s="439">
        <v>0</v>
      </c>
      <c r="X17" s="440">
        <v>768</v>
      </c>
      <c r="Y17" s="262">
        <f t="shared" si="1"/>
        <v>0</v>
      </c>
    </row>
    <row r="18" spans="1:25" ht="16.5">
      <c r="A18" s="445" t="s">
        <v>300</v>
      </c>
      <c r="B18" s="434" t="s">
        <v>39</v>
      </c>
      <c r="C18" s="435">
        <v>12</v>
      </c>
      <c r="D18" s="435">
        <v>9</v>
      </c>
      <c r="E18" s="435">
        <v>7</v>
      </c>
      <c r="F18" s="434" t="s">
        <v>25</v>
      </c>
      <c r="G18" s="434" t="s">
        <v>3</v>
      </c>
      <c r="H18" s="434" t="s">
        <v>2</v>
      </c>
      <c r="I18" s="434" t="s">
        <v>1</v>
      </c>
      <c r="J18" s="434" t="s">
        <v>25</v>
      </c>
      <c r="K18" s="435">
        <v>25</v>
      </c>
      <c r="L18" s="435"/>
      <c r="M18" s="434" t="s">
        <v>25</v>
      </c>
      <c r="N18" s="436">
        <v>1.4</v>
      </c>
      <c r="O18" s="436">
        <v>1.37</v>
      </c>
      <c r="P18" s="436">
        <v>1.33</v>
      </c>
      <c r="Q18" s="436">
        <v>1.3</v>
      </c>
      <c r="R18" s="436">
        <v>1.26</v>
      </c>
      <c r="S18" s="260"/>
      <c r="T18" s="261">
        <f t="shared" si="0"/>
        <v>0</v>
      </c>
      <c r="U18" s="437">
        <v>55</v>
      </c>
      <c r="V18" s="438">
        <v>688.36045056320404</v>
      </c>
      <c r="W18" s="439">
        <v>3.3</v>
      </c>
      <c r="X18" s="440">
        <v>756</v>
      </c>
      <c r="Y18" s="262">
        <f t="shared" si="1"/>
        <v>0</v>
      </c>
    </row>
    <row r="19" spans="1:25" ht="16.5">
      <c r="A19" s="445" t="s">
        <v>300</v>
      </c>
      <c r="B19" s="434" t="s">
        <v>40</v>
      </c>
      <c r="C19" s="435">
        <v>12</v>
      </c>
      <c r="D19" s="435">
        <v>12</v>
      </c>
      <c r="E19" s="435">
        <v>10</v>
      </c>
      <c r="F19" s="434" t="s">
        <v>25</v>
      </c>
      <c r="G19" s="434" t="s">
        <v>3</v>
      </c>
      <c r="H19" s="434" t="s">
        <v>2</v>
      </c>
      <c r="I19" s="434" t="s">
        <v>1</v>
      </c>
      <c r="J19" s="434" t="s">
        <v>25</v>
      </c>
      <c r="K19" s="435">
        <v>25</v>
      </c>
      <c r="L19" s="435"/>
      <c r="M19" s="434" t="s">
        <v>25</v>
      </c>
      <c r="N19" s="436">
        <v>1.64</v>
      </c>
      <c r="O19" s="436">
        <v>1.6</v>
      </c>
      <c r="P19" s="436">
        <v>1.56</v>
      </c>
      <c r="Q19" s="436">
        <v>1.52</v>
      </c>
      <c r="R19" s="436">
        <v>1.48</v>
      </c>
      <c r="S19" s="260"/>
      <c r="T19" s="261">
        <f t="shared" si="0"/>
        <v>0</v>
      </c>
      <c r="U19" s="437">
        <v>55</v>
      </c>
      <c r="V19" s="438">
        <v>451.18949958982773</v>
      </c>
      <c r="W19" s="439">
        <v>3.3</v>
      </c>
      <c r="X19" s="440">
        <v>1440</v>
      </c>
      <c r="Y19" s="262">
        <f t="shared" si="1"/>
        <v>0</v>
      </c>
    </row>
    <row r="20" spans="1:25" ht="16.5">
      <c r="A20" s="445" t="s">
        <v>300</v>
      </c>
      <c r="B20" s="434" t="s">
        <v>276</v>
      </c>
      <c r="C20" s="435">
        <v>12</v>
      </c>
      <c r="D20" s="435">
        <v>12</v>
      </c>
      <c r="E20" s="435">
        <v>59</v>
      </c>
      <c r="F20" s="434" t="s">
        <v>25</v>
      </c>
      <c r="G20" s="434" t="s">
        <v>3</v>
      </c>
      <c r="H20" s="434" t="s">
        <v>7</v>
      </c>
      <c r="I20" s="434" t="s">
        <v>1</v>
      </c>
      <c r="J20" s="434" t="s">
        <v>25</v>
      </c>
      <c r="K20" s="435">
        <v>25</v>
      </c>
      <c r="L20" s="435"/>
      <c r="M20" s="434" t="s">
        <v>25</v>
      </c>
      <c r="N20" s="436">
        <v>3.04</v>
      </c>
      <c r="O20" s="436">
        <v>2.96</v>
      </c>
      <c r="P20" s="436">
        <v>2.89</v>
      </c>
      <c r="Q20" s="436">
        <v>2.81</v>
      </c>
      <c r="R20" s="436">
        <v>2.74</v>
      </c>
      <c r="S20" s="260"/>
      <c r="T20" s="261">
        <f t="shared" si="0"/>
        <v>0</v>
      </c>
      <c r="U20" s="437">
        <v>140</v>
      </c>
      <c r="V20" s="438">
        <v>366.87631027253667</v>
      </c>
      <c r="W20" s="439">
        <v>3.3</v>
      </c>
      <c r="X20" s="440">
        <v>8496</v>
      </c>
      <c r="Y20" s="262">
        <f t="shared" si="1"/>
        <v>0</v>
      </c>
    </row>
    <row r="21" spans="1:25" ht="16.5">
      <c r="A21" s="445" t="s">
        <v>300</v>
      </c>
      <c r="B21" s="434" t="s">
        <v>41</v>
      </c>
      <c r="C21" s="435">
        <v>14</v>
      </c>
      <c r="D21" s="435">
        <v>11</v>
      </c>
      <c r="E21" s="435">
        <v>4</v>
      </c>
      <c r="F21" s="434" t="s">
        <v>25</v>
      </c>
      <c r="G21" s="434" t="s">
        <v>3</v>
      </c>
      <c r="H21" s="434" t="s">
        <v>2</v>
      </c>
      <c r="I21" s="434" t="s">
        <v>1</v>
      </c>
      <c r="J21" s="434" t="s">
        <v>25</v>
      </c>
      <c r="K21" s="435">
        <v>25</v>
      </c>
      <c r="L21" s="435"/>
      <c r="M21" s="434" t="s">
        <v>25</v>
      </c>
      <c r="N21" s="436">
        <v>1.04</v>
      </c>
      <c r="O21" s="436">
        <v>1.01</v>
      </c>
      <c r="P21" s="436">
        <v>0.99</v>
      </c>
      <c r="Q21" s="436">
        <v>0.96</v>
      </c>
      <c r="R21" s="436">
        <v>0.94</v>
      </c>
      <c r="S21" s="260"/>
      <c r="T21" s="261">
        <f t="shared" si="0"/>
        <v>0</v>
      </c>
      <c r="U21" s="437">
        <v>40</v>
      </c>
      <c r="V21" s="438">
        <v>454.54545454545456</v>
      </c>
      <c r="W21" s="439">
        <v>3.3</v>
      </c>
      <c r="X21" s="440">
        <v>616</v>
      </c>
      <c r="Y21" s="262">
        <f t="shared" si="1"/>
        <v>0</v>
      </c>
    </row>
    <row r="22" spans="1:25" ht="16.5">
      <c r="A22" s="445" t="s">
        <v>25</v>
      </c>
      <c r="B22" s="434" t="s">
        <v>378</v>
      </c>
      <c r="C22" s="435">
        <v>14</v>
      </c>
      <c r="D22" s="435">
        <v>14</v>
      </c>
      <c r="E22" s="435">
        <v>21</v>
      </c>
      <c r="F22" s="434" t="s">
        <v>25</v>
      </c>
      <c r="G22" s="434" t="s">
        <v>4</v>
      </c>
      <c r="H22" s="434" t="s">
        <v>7</v>
      </c>
      <c r="I22" s="434" t="s">
        <v>1</v>
      </c>
      <c r="J22" s="434" t="s">
        <v>25</v>
      </c>
      <c r="K22" s="435">
        <v>1</v>
      </c>
      <c r="L22" s="435"/>
      <c r="M22" s="434" t="s">
        <v>25</v>
      </c>
      <c r="N22" s="436">
        <v>0.74</v>
      </c>
      <c r="O22" s="436">
        <v>0.72</v>
      </c>
      <c r="P22" s="436">
        <v>0.7</v>
      </c>
      <c r="Q22" s="436">
        <v>0.68</v>
      </c>
      <c r="R22" s="436">
        <v>0.67</v>
      </c>
      <c r="S22" s="260"/>
      <c r="T22" s="261">
        <f t="shared" si="0"/>
        <v>0</v>
      </c>
      <c r="U22" s="437">
        <v>82</v>
      </c>
      <c r="V22" s="438">
        <v>373.40619307832424</v>
      </c>
      <c r="W22" s="439">
        <v>0</v>
      </c>
      <c r="X22" s="440">
        <v>4116</v>
      </c>
      <c r="Y22" s="262">
        <f t="shared" si="1"/>
        <v>0</v>
      </c>
    </row>
    <row r="23" spans="1:25" ht="16.5">
      <c r="A23" s="445" t="s">
        <v>300</v>
      </c>
      <c r="B23" s="434" t="s">
        <v>42</v>
      </c>
      <c r="C23" s="435">
        <v>15</v>
      </c>
      <c r="D23" s="435">
        <v>10</v>
      </c>
      <c r="E23" s="435">
        <v>7</v>
      </c>
      <c r="F23" s="434" t="s">
        <v>25</v>
      </c>
      <c r="G23" s="434" t="s">
        <v>3</v>
      </c>
      <c r="H23" s="434" t="s">
        <v>7</v>
      </c>
      <c r="I23" s="434" t="s">
        <v>1</v>
      </c>
      <c r="J23" s="434" t="s">
        <v>25</v>
      </c>
      <c r="K23" s="435">
        <v>25</v>
      </c>
      <c r="L23" s="435"/>
      <c r="M23" s="434" t="s">
        <v>25</v>
      </c>
      <c r="N23" s="436">
        <v>0.76</v>
      </c>
      <c r="O23" s="436">
        <v>0.74</v>
      </c>
      <c r="P23" s="436">
        <v>0.72</v>
      </c>
      <c r="Q23" s="436">
        <v>0.7</v>
      </c>
      <c r="R23" s="436">
        <v>0.68</v>
      </c>
      <c r="S23" s="260"/>
      <c r="T23" s="261">
        <f t="shared" si="0"/>
        <v>0</v>
      </c>
      <c r="U23" s="437">
        <v>40</v>
      </c>
      <c r="V23" s="438">
        <v>404.04040404040404</v>
      </c>
      <c r="W23" s="439">
        <v>3.3</v>
      </c>
      <c r="X23" s="440">
        <v>1050</v>
      </c>
      <c r="Y23" s="262">
        <f t="shared" si="1"/>
        <v>0</v>
      </c>
    </row>
    <row r="24" spans="1:25" ht="16.5">
      <c r="A24" s="445" t="s">
        <v>300</v>
      </c>
      <c r="B24" s="434" t="s">
        <v>43</v>
      </c>
      <c r="C24" s="435">
        <v>15</v>
      </c>
      <c r="D24" s="435">
        <v>10</v>
      </c>
      <c r="E24" s="435">
        <v>10</v>
      </c>
      <c r="F24" s="434" t="s">
        <v>25</v>
      </c>
      <c r="G24" s="434" t="s">
        <v>3</v>
      </c>
      <c r="H24" s="434" t="s">
        <v>7</v>
      </c>
      <c r="I24" s="434" t="s">
        <v>1</v>
      </c>
      <c r="J24" s="434" t="s">
        <v>25</v>
      </c>
      <c r="K24" s="435">
        <v>25</v>
      </c>
      <c r="L24" s="435"/>
      <c r="M24" s="434" t="s">
        <v>25</v>
      </c>
      <c r="N24" s="436">
        <v>0.92</v>
      </c>
      <c r="O24" s="436">
        <v>0.9</v>
      </c>
      <c r="P24" s="436">
        <v>0.87</v>
      </c>
      <c r="Q24" s="436">
        <v>0.85</v>
      </c>
      <c r="R24" s="436">
        <v>0.83</v>
      </c>
      <c r="S24" s="260"/>
      <c r="T24" s="261">
        <f t="shared" si="0"/>
        <v>0</v>
      </c>
      <c r="U24" s="437">
        <v>45</v>
      </c>
      <c r="V24" s="438">
        <v>389.61038961038957</v>
      </c>
      <c r="W24" s="439">
        <v>3.3</v>
      </c>
      <c r="X24" s="440">
        <v>1500</v>
      </c>
      <c r="Y24" s="262">
        <f t="shared" si="1"/>
        <v>0</v>
      </c>
    </row>
    <row r="25" spans="1:25" ht="16.5">
      <c r="A25" s="445" t="s">
        <v>300</v>
      </c>
      <c r="B25" s="434" t="s">
        <v>44</v>
      </c>
      <c r="C25" s="435">
        <v>15</v>
      </c>
      <c r="D25" s="435">
        <v>11</v>
      </c>
      <c r="E25" s="435">
        <v>12</v>
      </c>
      <c r="F25" s="434" t="s">
        <v>25</v>
      </c>
      <c r="G25" s="434" t="s">
        <v>3</v>
      </c>
      <c r="H25" s="434" t="s">
        <v>7</v>
      </c>
      <c r="I25" s="434" t="s">
        <v>1</v>
      </c>
      <c r="J25" s="434" t="s">
        <v>25</v>
      </c>
      <c r="K25" s="435">
        <v>25</v>
      </c>
      <c r="L25" s="435"/>
      <c r="M25" s="434" t="s">
        <v>25</v>
      </c>
      <c r="N25" s="436">
        <v>0.92</v>
      </c>
      <c r="O25" s="436">
        <v>0.9</v>
      </c>
      <c r="P25" s="436">
        <v>0.87</v>
      </c>
      <c r="Q25" s="436">
        <v>0.85</v>
      </c>
      <c r="R25" s="436">
        <v>0.83</v>
      </c>
      <c r="S25" s="260"/>
      <c r="T25" s="261">
        <f t="shared" si="0"/>
        <v>0</v>
      </c>
      <c r="U25" s="437">
        <v>50</v>
      </c>
      <c r="V25" s="438">
        <v>365.4970760233918</v>
      </c>
      <c r="W25" s="439">
        <v>3.3</v>
      </c>
      <c r="X25" s="440">
        <v>1980</v>
      </c>
      <c r="Y25" s="262">
        <f t="shared" si="1"/>
        <v>0</v>
      </c>
    </row>
    <row r="26" spans="1:25" ht="16.5">
      <c r="A26" s="445" t="s">
        <v>300</v>
      </c>
      <c r="B26" s="434" t="s">
        <v>45</v>
      </c>
      <c r="C26" s="435">
        <v>15</v>
      </c>
      <c r="D26" s="435">
        <v>14</v>
      </c>
      <c r="E26" s="435">
        <v>1</v>
      </c>
      <c r="F26" s="434" t="s">
        <v>25</v>
      </c>
      <c r="G26" s="434" t="s">
        <v>3</v>
      </c>
      <c r="H26" s="434" t="s">
        <v>2</v>
      </c>
      <c r="I26" s="434" t="s">
        <v>1</v>
      </c>
      <c r="J26" s="434" t="s">
        <v>25</v>
      </c>
      <c r="K26" s="435">
        <v>25</v>
      </c>
      <c r="L26" s="435"/>
      <c r="M26" s="434" t="s">
        <v>25</v>
      </c>
      <c r="N26" s="436">
        <v>0.88</v>
      </c>
      <c r="O26" s="436">
        <v>0.86</v>
      </c>
      <c r="P26" s="436">
        <v>0.84</v>
      </c>
      <c r="Q26" s="436">
        <v>0.81</v>
      </c>
      <c r="R26" s="436">
        <v>0.79</v>
      </c>
      <c r="S26" s="260"/>
      <c r="T26" s="261">
        <f t="shared" si="0"/>
        <v>0</v>
      </c>
      <c r="U26" s="437">
        <v>40</v>
      </c>
      <c r="V26" s="438">
        <v>396.82539682539681</v>
      </c>
      <c r="W26" s="439">
        <v>3.3</v>
      </c>
      <c r="X26" s="440">
        <v>210</v>
      </c>
      <c r="Y26" s="262">
        <f t="shared" si="1"/>
        <v>0</v>
      </c>
    </row>
    <row r="27" spans="1:25" ht="16.5">
      <c r="A27" s="445" t="s">
        <v>300</v>
      </c>
      <c r="B27" s="434" t="s">
        <v>46</v>
      </c>
      <c r="C27" s="435">
        <v>15</v>
      </c>
      <c r="D27" s="435">
        <v>14</v>
      </c>
      <c r="E27" s="435">
        <v>2</v>
      </c>
      <c r="F27" s="434" t="s">
        <v>25</v>
      </c>
      <c r="G27" s="434" t="s">
        <v>3</v>
      </c>
      <c r="H27" s="434" t="s">
        <v>2</v>
      </c>
      <c r="I27" s="434" t="s">
        <v>1</v>
      </c>
      <c r="J27" s="434" t="s">
        <v>25</v>
      </c>
      <c r="K27" s="435">
        <v>25</v>
      </c>
      <c r="L27" s="435"/>
      <c r="M27" s="434" t="s">
        <v>25</v>
      </c>
      <c r="N27" s="436">
        <v>0.92</v>
      </c>
      <c r="O27" s="436">
        <v>0.9</v>
      </c>
      <c r="P27" s="436">
        <v>0.87</v>
      </c>
      <c r="Q27" s="436">
        <v>0.85</v>
      </c>
      <c r="R27" s="436">
        <v>0.83</v>
      </c>
      <c r="S27" s="260"/>
      <c r="T27" s="261">
        <f t="shared" si="0"/>
        <v>0</v>
      </c>
      <c r="U27" s="437">
        <v>35</v>
      </c>
      <c r="V27" s="438">
        <v>326.79738562091501</v>
      </c>
      <c r="W27" s="439">
        <v>3.3</v>
      </c>
      <c r="X27" s="440">
        <v>420</v>
      </c>
      <c r="Y27" s="262">
        <f t="shared" si="1"/>
        <v>0</v>
      </c>
    </row>
    <row r="28" spans="1:25" ht="16.5">
      <c r="A28" s="445" t="s">
        <v>300</v>
      </c>
      <c r="B28" s="434" t="s">
        <v>47</v>
      </c>
      <c r="C28" s="435">
        <v>15</v>
      </c>
      <c r="D28" s="435">
        <v>15</v>
      </c>
      <c r="E28" s="435">
        <v>10</v>
      </c>
      <c r="F28" s="434" t="s">
        <v>25</v>
      </c>
      <c r="G28" s="434" t="s">
        <v>3</v>
      </c>
      <c r="H28" s="434" t="s">
        <v>7</v>
      </c>
      <c r="I28" s="434" t="s">
        <v>1</v>
      </c>
      <c r="J28" s="434" t="s">
        <v>25</v>
      </c>
      <c r="K28" s="435">
        <v>25</v>
      </c>
      <c r="L28" s="435"/>
      <c r="M28" s="434" t="s">
        <v>25</v>
      </c>
      <c r="N28" s="436">
        <v>1.22</v>
      </c>
      <c r="O28" s="436">
        <v>1.19</v>
      </c>
      <c r="P28" s="436">
        <v>1.1599999999999999</v>
      </c>
      <c r="Q28" s="436">
        <v>1.1299999999999999</v>
      </c>
      <c r="R28" s="436">
        <v>1.1000000000000001</v>
      </c>
      <c r="S28" s="260"/>
      <c r="T28" s="261">
        <f t="shared" si="0"/>
        <v>0</v>
      </c>
      <c r="U28" s="437">
        <v>75</v>
      </c>
      <c r="V28" s="438">
        <v>443.7869822485207</v>
      </c>
      <c r="W28" s="439">
        <v>3.3</v>
      </c>
      <c r="X28" s="440">
        <v>2250</v>
      </c>
      <c r="Y28" s="262">
        <f t="shared" si="1"/>
        <v>0</v>
      </c>
    </row>
    <row r="29" spans="1:25" ht="16.5">
      <c r="A29" s="445" t="s">
        <v>300</v>
      </c>
      <c r="B29" s="434" t="s">
        <v>48</v>
      </c>
      <c r="C29" s="435">
        <v>15</v>
      </c>
      <c r="D29" s="435">
        <v>15</v>
      </c>
      <c r="E29" s="435">
        <v>15</v>
      </c>
      <c r="F29" s="434" t="s">
        <v>25</v>
      </c>
      <c r="G29" s="434" t="s">
        <v>3</v>
      </c>
      <c r="H29" s="434" t="s">
        <v>7</v>
      </c>
      <c r="I29" s="434" t="s">
        <v>1</v>
      </c>
      <c r="J29" s="434" t="s">
        <v>25</v>
      </c>
      <c r="K29" s="435">
        <v>25</v>
      </c>
      <c r="L29" s="435"/>
      <c r="M29" s="434" t="s">
        <v>25</v>
      </c>
      <c r="N29" s="436">
        <v>1.4</v>
      </c>
      <c r="O29" s="436">
        <v>1.37</v>
      </c>
      <c r="P29" s="436">
        <v>1.33</v>
      </c>
      <c r="Q29" s="436">
        <v>1.3</v>
      </c>
      <c r="R29" s="436">
        <v>1.26</v>
      </c>
      <c r="S29" s="260"/>
      <c r="T29" s="261">
        <f t="shared" si="0"/>
        <v>0</v>
      </c>
      <c r="U29" s="437">
        <v>60</v>
      </c>
      <c r="V29" s="438">
        <v>297.76674937965259</v>
      </c>
      <c r="W29" s="439">
        <v>3.3</v>
      </c>
      <c r="X29" s="440">
        <v>3375</v>
      </c>
      <c r="Y29" s="262">
        <f t="shared" si="1"/>
        <v>0</v>
      </c>
    </row>
    <row r="30" spans="1:25" ht="16.5">
      <c r="A30" s="445" t="s">
        <v>25</v>
      </c>
      <c r="B30" s="434" t="s">
        <v>379</v>
      </c>
      <c r="C30" s="435">
        <v>15</v>
      </c>
      <c r="D30" s="435">
        <v>15</v>
      </c>
      <c r="E30" s="435">
        <v>18</v>
      </c>
      <c r="F30" s="434" t="s">
        <v>25</v>
      </c>
      <c r="G30" s="434" t="s">
        <v>4</v>
      </c>
      <c r="H30" s="434" t="s">
        <v>7</v>
      </c>
      <c r="I30" s="434" t="s">
        <v>1</v>
      </c>
      <c r="J30" s="434" t="s">
        <v>25</v>
      </c>
      <c r="K30" s="435">
        <v>1</v>
      </c>
      <c r="L30" s="435"/>
      <c r="M30" s="434" t="s">
        <v>25</v>
      </c>
      <c r="N30" s="436">
        <v>0.74</v>
      </c>
      <c r="O30" s="436">
        <v>0.72</v>
      </c>
      <c r="P30" s="436">
        <v>0.7</v>
      </c>
      <c r="Q30" s="436">
        <v>0.68</v>
      </c>
      <c r="R30" s="436">
        <v>0.67</v>
      </c>
      <c r="S30" s="260"/>
      <c r="T30" s="261">
        <f t="shared" si="0"/>
        <v>0</v>
      </c>
      <c r="U30" s="437">
        <v>82</v>
      </c>
      <c r="V30" s="438">
        <v>371.04072398190044</v>
      </c>
      <c r="W30" s="439">
        <v>0</v>
      </c>
      <c r="X30" s="440">
        <v>4050</v>
      </c>
      <c r="Y30" s="262">
        <f t="shared" si="1"/>
        <v>0</v>
      </c>
    </row>
    <row r="31" spans="1:25" ht="16.5">
      <c r="A31" s="445" t="s">
        <v>300</v>
      </c>
      <c r="B31" s="434" t="s">
        <v>49</v>
      </c>
      <c r="C31" s="435">
        <v>16</v>
      </c>
      <c r="D31" s="435">
        <v>11</v>
      </c>
      <c r="E31" s="435">
        <v>2</v>
      </c>
      <c r="F31" s="434" t="s">
        <v>25</v>
      </c>
      <c r="G31" s="434" t="s">
        <v>3</v>
      </c>
      <c r="H31" s="434" t="s">
        <v>30</v>
      </c>
      <c r="I31" s="434" t="s">
        <v>1</v>
      </c>
      <c r="J31" s="434" t="s">
        <v>25</v>
      </c>
      <c r="K31" s="435">
        <v>25</v>
      </c>
      <c r="L31" s="435"/>
      <c r="M31" s="434" t="s">
        <v>25</v>
      </c>
      <c r="N31" s="436">
        <v>0.84</v>
      </c>
      <c r="O31" s="436">
        <v>0.82</v>
      </c>
      <c r="P31" s="436">
        <v>0.8</v>
      </c>
      <c r="Q31" s="436">
        <v>0.78</v>
      </c>
      <c r="R31" s="436">
        <v>0.76</v>
      </c>
      <c r="S31" s="260"/>
      <c r="T31" s="261">
        <f t="shared" ref="T31:T62" si="2">(CHOOSE(((($L31&gt;=(0))+($L31&gt;=($O$6))+($L31&gt;=($P$6))+($L31&gt;=($Q$6))+($L31&gt;=($R$6)))),N31,O31,P31,Q31,R31))*L31</f>
        <v>0</v>
      </c>
      <c r="U31" s="437">
        <v>40</v>
      </c>
      <c r="V31" s="438">
        <v>484.26150121065371</v>
      </c>
      <c r="W31" s="439">
        <v>3.3</v>
      </c>
      <c r="X31" s="440">
        <v>352</v>
      </c>
      <c r="Y31" s="262">
        <f t="shared" ref="Y31:Y62" si="3">(C31*D31*E31)-X31</f>
        <v>0</v>
      </c>
    </row>
    <row r="32" spans="1:25" ht="16.5">
      <c r="A32" s="445" t="s">
        <v>300</v>
      </c>
      <c r="B32" s="434" t="s">
        <v>50</v>
      </c>
      <c r="C32" s="435">
        <v>16</v>
      </c>
      <c r="D32" s="435">
        <v>11</v>
      </c>
      <c r="E32" s="435">
        <v>3</v>
      </c>
      <c r="F32" s="434" t="s">
        <v>25</v>
      </c>
      <c r="G32" s="434" t="s">
        <v>3</v>
      </c>
      <c r="H32" s="434" t="s">
        <v>2</v>
      </c>
      <c r="I32" s="434" t="s">
        <v>1</v>
      </c>
      <c r="J32" s="434" t="s">
        <v>25</v>
      </c>
      <c r="K32" s="435">
        <v>25</v>
      </c>
      <c r="L32" s="435"/>
      <c r="M32" s="434" t="s">
        <v>25</v>
      </c>
      <c r="N32" s="436">
        <v>1.04</v>
      </c>
      <c r="O32" s="436">
        <v>1.01</v>
      </c>
      <c r="P32" s="436">
        <v>0.99</v>
      </c>
      <c r="Q32" s="436">
        <v>0.96</v>
      </c>
      <c r="R32" s="436">
        <v>0.94</v>
      </c>
      <c r="S32" s="260"/>
      <c r="T32" s="261">
        <f t="shared" si="2"/>
        <v>0</v>
      </c>
      <c r="U32" s="437">
        <v>40</v>
      </c>
      <c r="V32" s="438">
        <v>451.97740112994353</v>
      </c>
      <c r="W32" s="439">
        <v>3.3</v>
      </c>
      <c r="X32" s="440">
        <v>528</v>
      </c>
      <c r="Y32" s="262">
        <f t="shared" si="3"/>
        <v>0</v>
      </c>
    </row>
    <row r="33" spans="1:25" ht="16.5">
      <c r="A33" s="445" t="s">
        <v>300</v>
      </c>
      <c r="B33" s="434" t="s">
        <v>51</v>
      </c>
      <c r="C33" s="435">
        <v>16</v>
      </c>
      <c r="D33" s="435">
        <v>11</v>
      </c>
      <c r="E33" s="435">
        <v>3</v>
      </c>
      <c r="F33" s="434" t="s">
        <v>25</v>
      </c>
      <c r="G33" s="434" t="s">
        <v>3</v>
      </c>
      <c r="H33" s="434" t="s">
        <v>7</v>
      </c>
      <c r="I33" s="434" t="s">
        <v>1</v>
      </c>
      <c r="J33" s="434" t="s">
        <v>25</v>
      </c>
      <c r="K33" s="435">
        <v>25</v>
      </c>
      <c r="L33" s="435"/>
      <c r="M33" s="434" t="s">
        <v>25</v>
      </c>
      <c r="N33" s="436">
        <v>0.8</v>
      </c>
      <c r="O33" s="436">
        <v>0.78</v>
      </c>
      <c r="P33" s="436">
        <v>0.76</v>
      </c>
      <c r="Q33" s="436">
        <v>0.74</v>
      </c>
      <c r="R33" s="436">
        <v>0.72</v>
      </c>
      <c r="S33" s="260"/>
      <c r="T33" s="261">
        <f t="shared" si="2"/>
        <v>0</v>
      </c>
      <c r="U33" s="437">
        <v>30</v>
      </c>
      <c r="V33" s="438">
        <v>338.98305084745766</v>
      </c>
      <c r="W33" s="439">
        <v>3.3</v>
      </c>
      <c r="X33" s="440">
        <v>528</v>
      </c>
      <c r="Y33" s="262">
        <f t="shared" si="3"/>
        <v>0</v>
      </c>
    </row>
    <row r="34" spans="1:25" ht="16.5">
      <c r="A34" s="445" t="s">
        <v>300</v>
      </c>
      <c r="B34" s="434" t="s">
        <v>52</v>
      </c>
      <c r="C34" s="435">
        <v>16</v>
      </c>
      <c r="D34" s="435">
        <v>11</v>
      </c>
      <c r="E34" s="435">
        <v>3</v>
      </c>
      <c r="F34" s="434" t="s">
        <v>25</v>
      </c>
      <c r="G34" s="434" t="s">
        <v>3</v>
      </c>
      <c r="H34" s="434" t="s">
        <v>7</v>
      </c>
      <c r="I34" s="434" t="s">
        <v>1</v>
      </c>
      <c r="J34" s="434" t="s">
        <v>25</v>
      </c>
      <c r="K34" s="435">
        <v>25</v>
      </c>
      <c r="L34" s="435"/>
      <c r="M34" s="434" t="s">
        <v>25</v>
      </c>
      <c r="N34" s="436">
        <v>0.68</v>
      </c>
      <c r="O34" s="436">
        <v>0.66</v>
      </c>
      <c r="P34" s="436">
        <v>0.65</v>
      </c>
      <c r="Q34" s="436">
        <v>0.63</v>
      </c>
      <c r="R34" s="436">
        <v>0.61</v>
      </c>
      <c r="S34" s="260"/>
      <c r="T34" s="261">
        <f t="shared" si="2"/>
        <v>0</v>
      </c>
      <c r="U34" s="437">
        <v>30</v>
      </c>
      <c r="V34" s="438">
        <v>338.98305084745766</v>
      </c>
      <c r="W34" s="439">
        <v>3.3</v>
      </c>
      <c r="X34" s="440">
        <v>528</v>
      </c>
      <c r="Y34" s="262">
        <f t="shared" si="3"/>
        <v>0</v>
      </c>
    </row>
    <row r="35" spans="1:25" ht="16.5">
      <c r="A35" s="445" t="s">
        <v>300</v>
      </c>
      <c r="B35" s="434" t="s">
        <v>53</v>
      </c>
      <c r="C35" s="435">
        <v>16</v>
      </c>
      <c r="D35" s="435">
        <v>11</v>
      </c>
      <c r="E35" s="435">
        <v>6</v>
      </c>
      <c r="F35" s="434" t="s">
        <v>25</v>
      </c>
      <c r="G35" s="434" t="s">
        <v>3</v>
      </c>
      <c r="H35" s="434" t="s">
        <v>2</v>
      </c>
      <c r="I35" s="434" t="s">
        <v>1</v>
      </c>
      <c r="J35" s="434" t="s">
        <v>25</v>
      </c>
      <c r="K35" s="435">
        <v>25</v>
      </c>
      <c r="L35" s="435"/>
      <c r="M35" s="434" t="s">
        <v>25</v>
      </c>
      <c r="N35" s="436">
        <v>1.48</v>
      </c>
      <c r="O35" s="436">
        <v>1.44</v>
      </c>
      <c r="P35" s="436">
        <v>1.41</v>
      </c>
      <c r="Q35" s="436">
        <v>1.37</v>
      </c>
      <c r="R35" s="436">
        <v>1.33</v>
      </c>
      <c r="S35" s="260"/>
      <c r="T35" s="261">
        <f t="shared" si="2"/>
        <v>0</v>
      </c>
      <c r="U35" s="437">
        <v>48</v>
      </c>
      <c r="V35" s="438">
        <v>451.97740112994347</v>
      </c>
      <c r="W35" s="439">
        <v>3.3</v>
      </c>
      <c r="X35" s="440">
        <v>1056</v>
      </c>
      <c r="Y35" s="262">
        <f t="shared" si="3"/>
        <v>0</v>
      </c>
    </row>
    <row r="36" spans="1:25" ht="16.5">
      <c r="A36" s="445" t="s">
        <v>300</v>
      </c>
      <c r="B36" s="434" t="s">
        <v>54</v>
      </c>
      <c r="C36" s="435">
        <v>16</v>
      </c>
      <c r="D36" s="435">
        <v>11</v>
      </c>
      <c r="E36" s="435">
        <v>6</v>
      </c>
      <c r="F36" s="434" t="s">
        <v>25</v>
      </c>
      <c r="G36" s="434" t="s">
        <v>3</v>
      </c>
      <c r="H36" s="434" t="s">
        <v>7</v>
      </c>
      <c r="I36" s="434" t="s">
        <v>1</v>
      </c>
      <c r="J36" s="434" t="s">
        <v>25</v>
      </c>
      <c r="K36" s="435">
        <v>25</v>
      </c>
      <c r="L36" s="435"/>
      <c r="M36" s="434" t="s">
        <v>25</v>
      </c>
      <c r="N36" s="436">
        <v>0.88</v>
      </c>
      <c r="O36" s="436">
        <v>0.86</v>
      </c>
      <c r="P36" s="436">
        <v>0.84</v>
      </c>
      <c r="Q36" s="436">
        <v>0.81</v>
      </c>
      <c r="R36" s="436">
        <v>0.79</v>
      </c>
      <c r="S36" s="260"/>
      <c r="T36" s="261">
        <f t="shared" si="2"/>
        <v>0</v>
      </c>
      <c r="U36" s="437">
        <v>40</v>
      </c>
      <c r="V36" s="438">
        <v>376.64783427495291</v>
      </c>
      <c r="W36" s="439">
        <v>3.3</v>
      </c>
      <c r="X36" s="440">
        <v>1056</v>
      </c>
      <c r="Y36" s="262">
        <f t="shared" si="3"/>
        <v>0</v>
      </c>
    </row>
    <row r="37" spans="1:25" ht="16.5">
      <c r="A37" s="445" t="s">
        <v>300</v>
      </c>
      <c r="B37" s="434" t="s">
        <v>55</v>
      </c>
      <c r="C37" s="435">
        <v>16</v>
      </c>
      <c r="D37" s="435">
        <v>11</v>
      </c>
      <c r="E37" s="435">
        <v>8</v>
      </c>
      <c r="F37" s="434" t="s">
        <v>25</v>
      </c>
      <c r="G37" s="434" t="s">
        <v>3</v>
      </c>
      <c r="H37" s="434" t="s">
        <v>7</v>
      </c>
      <c r="I37" s="434" t="s">
        <v>1</v>
      </c>
      <c r="J37" s="434" t="s">
        <v>25</v>
      </c>
      <c r="K37" s="435">
        <v>25</v>
      </c>
      <c r="L37" s="435"/>
      <c r="M37" s="434" t="s">
        <v>25</v>
      </c>
      <c r="N37" s="436">
        <v>0.86</v>
      </c>
      <c r="O37" s="436">
        <v>0.84</v>
      </c>
      <c r="P37" s="436">
        <v>0.82</v>
      </c>
      <c r="Q37" s="436">
        <v>0.8</v>
      </c>
      <c r="R37" s="436">
        <v>0.77</v>
      </c>
      <c r="S37" s="260"/>
      <c r="T37" s="261">
        <f t="shared" si="2"/>
        <v>0</v>
      </c>
      <c r="U37" s="437">
        <v>55</v>
      </c>
      <c r="V37" s="438">
        <v>466.10169491525426</v>
      </c>
      <c r="W37" s="439">
        <v>3.3</v>
      </c>
      <c r="X37" s="440">
        <v>1408</v>
      </c>
      <c r="Y37" s="262">
        <f t="shared" si="3"/>
        <v>0</v>
      </c>
    </row>
    <row r="38" spans="1:25" ht="16.5">
      <c r="A38" s="445" t="s">
        <v>300</v>
      </c>
      <c r="B38" s="434" t="s">
        <v>56</v>
      </c>
      <c r="C38" s="435">
        <v>16</v>
      </c>
      <c r="D38" s="435">
        <v>11</v>
      </c>
      <c r="E38" s="435">
        <v>10</v>
      </c>
      <c r="F38" s="434" t="s">
        <v>25</v>
      </c>
      <c r="G38" s="434" t="s">
        <v>3</v>
      </c>
      <c r="H38" s="434" t="s">
        <v>7</v>
      </c>
      <c r="I38" s="434" t="s">
        <v>1</v>
      </c>
      <c r="J38" s="434" t="s">
        <v>25</v>
      </c>
      <c r="K38" s="435">
        <v>25</v>
      </c>
      <c r="L38" s="435"/>
      <c r="M38" s="434" t="s">
        <v>25</v>
      </c>
      <c r="N38" s="436">
        <v>0.9</v>
      </c>
      <c r="O38" s="436">
        <v>0.88</v>
      </c>
      <c r="P38" s="436">
        <v>0.85</v>
      </c>
      <c r="Q38" s="436">
        <v>0.83</v>
      </c>
      <c r="R38" s="436">
        <v>0.81</v>
      </c>
      <c r="S38" s="260"/>
      <c r="T38" s="261">
        <f t="shared" si="2"/>
        <v>0</v>
      </c>
      <c r="U38" s="437">
        <v>60</v>
      </c>
      <c r="V38" s="438">
        <v>462.24961479198765</v>
      </c>
      <c r="W38" s="439">
        <v>3.3</v>
      </c>
      <c r="X38" s="440">
        <v>1760</v>
      </c>
      <c r="Y38" s="262">
        <f t="shared" si="3"/>
        <v>0</v>
      </c>
    </row>
    <row r="39" spans="1:25" ht="16.5">
      <c r="A39" s="445" t="s">
        <v>25</v>
      </c>
      <c r="B39" s="434" t="s">
        <v>447</v>
      </c>
      <c r="C39" s="435">
        <v>16</v>
      </c>
      <c r="D39" s="435">
        <v>11</v>
      </c>
      <c r="E39" s="435">
        <v>21</v>
      </c>
      <c r="F39" s="434" t="s">
        <v>25</v>
      </c>
      <c r="G39" s="434" t="s">
        <v>4</v>
      </c>
      <c r="H39" s="434" t="s">
        <v>7</v>
      </c>
      <c r="I39" s="434" t="s">
        <v>1</v>
      </c>
      <c r="J39" s="434" t="s">
        <v>25</v>
      </c>
      <c r="K39" s="435">
        <v>1</v>
      </c>
      <c r="L39" s="435"/>
      <c r="M39" s="434" t="s">
        <v>25</v>
      </c>
      <c r="N39" s="436">
        <v>0.74</v>
      </c>
      <c r="O39" s="436">
        <v>0.72</v>
      </c>
      <c r="P39" s="436">
        <v>0.7</v>
      </c>
      <c r="Q39" s="436">
        <v>0.68</v>
      </c>
      <c r="R39" s="436">
        <v>0.67</v>
      </c>
      <c r="S39" s="260"/>
      <c r="T39" s="261">
        <f t="shared" si="2"/>
        <v>0</v>
      </c>
      <c r="U39" s="437">
        <v>82</v>
      </c>
      <c r="V39" s="438">
        <v>421.16076014381099</v>
      </c>
      <c r="W39" s="439">
        <v>0</v>
      </c>
      <c r="X39" s="440">
        <v>3696</v>
      </c>
      <c r="Y39" s="262">
        <f t="shared" si="3"/>
        <v>0</v>
      </c>
    </row>
    <row r="40" spans="1:25" ht="16.5">
      <c r="A40" s="445" t="s">
        <v>300</v>
      </c>
      <c r="B40" s="434" t="s">
        <v>57</v>
      </c>
      <c r="C40" s="435">
        <v>16</v>
      </c>
      <c r="D40" s="435">
        <v>13</v>
      </c>
      <c r="E40" s="435">
        <v>16</v>
      </c>
      <c r="F40" s="434" t="s">
        <v>25</v>
      </c>
      <c r="G40" s="434" t="s">
        <v>3</v>
      </c>
      <c r="H40" s="434" t="s">
        <v>7</v>
      </c>
      <c r="I40" s="434" t="s">
        <v>1</v>
      </c>
      <c r="J40" s="434" t="s">
        <v>25</v>
      </c>
      <c r="K40" s="435">
        <v>25</v>
      </c>
      <c r="L40" s="435"/>
      <c r="M40" s="434" t="s">
        <v>25</v>
      </c>
      <c r="N40" s="436">
        <v>1.3</v>
      </c>
      <c r="O40" s="436">
        <v>1.27</v>
      </c>
      <c r="P40" s="436">
        <v>1.23</v>
      </c>
      <c r="Q40" s="436">
        <v>1.2</v>
      </c>
      <c r="R40" s="436">
        <v>1.17</v>
      </c>
      <c r="S40" s="260"/>
      <c r="T40" s="261">
        <f t="shared" si="2"/>
        <v>0</v>
      </c>
      <c r="U40" s="437">
        <v>65</v>
      </c>
      <c r="V40" s="438">
        <v>343.9153439153439</v>
      </c>
      <c r="W40" s="439">
        <v>3.3</v>
      </c>
      <c r="X40" s="440">
        <v>3328</v>
      </c>
      <c r="Y40" s="262">
        <f t="shared" si="3"/>
        <v>0</v>
      </c>
    </row>
    <row r="41" spans="1:25" ht="16.5">
      <c r="A41" s="445" t="s">
        <v>25</v>
      </c>
      <c r="B41" s="434" t="s">
        <v>380</v>
      </c>
      <c r="C41" s="435">
        <v>16</v>
      </c>
      <c r="D41" s="435">
        <v>15</v>
      </c>
      <c r="E41" s="435">
        <v>21</v>
      </c>
      <c r="F41" s="434" t="s">
        <v>25</v>
      </c>
      <c r="G41" s="434" t="s">
        <v>4</v>
      </c>
      <c r="H41" s="434" t="s">
        <v>7</v>
      </c>
      <c r="I41" s="434" t="s">
        <v>1</v>
      </c>
      <c r="J41" s="434" t="s">
        <v>25</v>
      </c>
      <c r="K41" s="435">
        <v>1</v>
      </c>
      <c r="L41" s="435"/>
      <c r="M41" s="434" t="s">
        <v>25</v>
      </c>
      <c r="N41" s="436">
        <v>0.83</v>
      </c>
      <c r="O41" s="436">
        <v>0.81</v>
      </c>
      <c r="P41" s="436">
        <v>0.79</v>
      </c>
      <c r="Q41" s="436">
        <v>0.77</v>
      </c>
      <c r="R41" s="436">
        <v>0.75</v>
      </c>
      <c r="S41" s="260"/>
      <c r="T41" s="261">
        <f t="shared" si="2"/>
        <v>0</v>
      </c>
      <c r="U41" s="437">
        <v>92</v>
      </c>
      <c r="V41" s="438">
        <v>371.11738604275916</v>
      </c>
      <c r="W41" s="439">
        <v>0</v>
      </c>
      <c r="X41" s="440">
        <v>5040</v>
      </c>
      <c r="Y41" s="262">
        <f t="shared" si="3"/>
        <v>0</v>
      </c>
    </row>
    <row r="42" spans="1:25" ht="16.5">
      <c r="A42" s="445" t="s">
        <v>300</v>
      </c>
      <c r="B42" s="434" t="s">
        <v>58</v>
      </c>
      <c r="C42" s="435">
        <v>17</v>
      </c>
      <c r="D42" s="435">
        <v>10</v>
      </c>
      <c r="E42" s="435">
        <v>6</v>
      </c>
      <c r="F42" s="434" t="s">
        <v>25</v>
      </c>
      <c r="G42" s="434" t="s">
        <v>3</v>
      </c>
      <c r="H42" s="434" t="s">
        <v>2</v>
      </c>
      <c r="I42" s="434" t="s">
        <v>1</v>
      </c>
      <c r="J42" s="434" t="s">
        <v>25</v>
      </c>
      <c r="K42" s="435">
        <v>25</v>
      </c>
      <c r="L42" s="435"/>
      <c r="M42" s="434" t="s">
        <v>25</v>
      </c>
      <c r="N42" s="436">
        <v>1.48</v>
      </c>
      <c r="O42" s="436">
        <v>1.44</v>
      </c>
      <c r="P42" s="436">
        <v>1.41</v>
      </c>
      <c r="Q42" s="436">
        <v>1.37</v>
      </c>
      <c r="R42" s="436">
        <v>1.33</v>
      </c>
      <c r="S42" s="260"/>
      <c r="T42" s="261">
        <f t="shared" si="2"/>
        <v>0</v>
      </c>
      <c r="U42" s="437">
        <v>45</v>
      </c>
      <c r="V42" s="438">
        <v>448.65403788634097</v>
      </c>
      <c r="W42" s="439">
        <v>3.3</v>
      </c>
      <c r="X42" s="440">
        <v>1020</v>
      </c>
      <c r="Y42" s="262">
        <f t="shared" si="3"/>
        <v>0</v>
      </c>
    </row>
    <row r="43" spans="1:25" ht="16.5">
      <c r="A43" s="445" t="s">
        <v>300</v>
      </c>
      <c r="B43" s="434" t="s">
        <v>59</v>
      </c>
      <c r="C43" s="435">
        <v>17</v>
      </c>
      <c r="D43" s="435">
        <v>14</v>
      </c>
      <c r="E43" s="435">
        <v>5</v>
      </c>
      <c r="F43" s="434" t="s">
        <v>25</v>
      </c>
      <c r="G43" s="434" t="s">
        <v>3</v>
      </c>
      <c r="H43" s="434" t="s">
        <v>7</v>
      </c>
      <c r="I43" s="434" t="s">
        <v>1</v>
      </c>
      <c r="J43" s="434" t="s">
        <v>25</v>
      </c>
      <c r="K43" s="435">
        <v>25</v>
      </c>
      <c r="L43" s="435"/>
      <c r="M43" s="434" t="s">
        <v>25</v>
      </c>
      <c r="N43" s="436">
        <v>0.9</v>
      </c>
      <c r="O43" s="436">
        <v>0.88</v>
      </c>
      <c r="P43" s="436">
        <v>0.85</v>
      </c>
      <c r="Q43" s="436">
        <v>0.83</v>
      </c>
      <c r="R43" s="436">
        <v>0.81</v>
      </c>
      <c r="S43" s="260"/>
      <c r="T43" s="261">
        <f t="shared" si="2"/>
        <v>0</v>
      </c>
      <c r="U43" s="437">
        <v>50</v>
      </c>
      <c r="V43" s="438">
        <v>373.13432835820896</v>
      </c>
      <c r="W43" s="439">
        <v>3.3</v>
      </c>
      <c r="X43" s="440">
        <v>1190</v>
      </c>
      <c r="Y43" s="262">
        <f t="shared" si="3"/>
        <v>0</v>
      </c>
    </row>
    <row r="44" spans="1:25" ht="16.5">
      <c r="A44" s="445" t="s">
        <v>300</v>
      </c>
      <c r="B44" s="434" t="s">
        <v>381</v>
      </c>
      <c r="C44" s="435">
        <v>18</v>
      </c>
      <c r="D44" s="435">
        <v>7</v>
      </c>
      <c r="E44" s="435">
        <v>35</v>
      </c>
      <c r="F44" s="434" t="s">
        <v>25</v>
      </c>
      <c r="G44" s="434" t="s">
        <v>3</v>
      </c>
      <c r="H44" s="434" t="s">
        <v>7</v>
      </c>
      <c r="I44" s="434" t="s">
        <v>1</v>
      </c>
      <c r="J44" s="434" t="s">
        <v>25</v>
      </c>
      <c r="K44" s="435">
        <v>25</v>
      </c>
      <c r="L44" s="435"/>
      <c r="M44" s="434" t="s">
        <v>25</v>
      </c>
      <c r="N44" s="436">
        <v>2.16</v>
      </c>
      <c r="O44" s="436">
        <v>2.11</v>
      </c>
      <c r="P44" s="436">
        <v>2.0499999999999998</v>
      </c>
      <c r="Q44" s="436">
        <v>2</v>
      </c>
      <c r="R44" s="436">
        <v>1.94</v>
      </c>
      <c r="S44" s="260"/>
      <c r="T44" s="261">
        <f t="shared" si="2"/>
        <v>0</v>
      </c>
      <c r="U44" s="437">
        <v>110</v>
      </c>
      <c r="V44" s="438">
        <v>465.11627906976747</v>
      </c>
      <c r="W44" s="439">
        <v>3.3</v>
      </c>
      <c r="X44" s="440">
        <v>4410</v>
      </c>
      <c r="Y44" s="262">
        <f t="shared" si="3"/>
        <v>0</v>
      </c>
    </row>
    <row r="45" spans="1:25" ht="16.5">
      <c r="A45" s="445" t="s">
        <v>300</v>
      </c>
      <c r="B45" s="434" t="s">
        <v>60</v>
      </c>
      <c r="C45" s="435">
        <v>18</v>
      </c>
      <c r="D45" s="435">
        <v>10</v>
      </c>
      <c r="E45" s="435">
        <v>2</v>
      </c>
      <c r="F45" s="434" t="s">
        <v>25</v>
      </c>
      <c r="G45" s="434" t="s">
        <v>3</v>
      </c>
      <c r="H45" s="434" t="s">
        <v>2</v>
      </c>
      <c r="I45" s="434" t="s">
        <v>1</v>
      </c>
      <c r="J45" s="434" t="s">
        <v>25</v>
      </c>
      <c r="K45" s="435">
        <v>25</v>
      </c>
      <c r="L45" s="435"/>
      <c r="M45" s="434" t="s">
        <v>25</v>
      </c>
      <c r="N45" s="436">
        <v>1.3</v>
      </c>
      <c r="O45" s="436">
        <v>1.27</v>
      </c>
      <c r="P45" s="436">
        <v>1.23</v>
      </c>
      <c r="Q45" s="436">
        <v>1.2</v>
      </c>
      <c r="R45" s="436">
        <v>1.17</v>
      </c>
      <c r="S45" s="260"/>
      <c r="T45" s="261">
        <f t="shared" si="2"/>
        <v>0</v>
      </c>
      <c r="U45" s="437">
        <v>35</v>
      </c>
      <c r="V45" s="438">
        <v>441.36191677175287</v>
      </c>
      <c r="W45" s="439">
        <v>3.3</v>
      </c>
      <c r="X45" s="440">
        <v>360</v>
      </c>
      <c r="Y45" s="262">
        <f t="shared" si="3"/>
        <v>0</v>
      </c>
    </row>
    <row r="46" spans="1:25" ht="16.5">
      <c r="A46" s="445" t="s">
        <v>25</v>
      </c>
      <c r="B46" s="434" t="s">
        <v>382</v>
      </c>
      <c r="C46" s="435">
        <v>18</v>
      </c>
      <c r="D46" s="435">
        <v>13</v>
      </c>
      <c r="E46" s="435">
        <v>9</v>
      </c>
      <c r="F46" s="434" t="s">
        <v>25</v>
      </c>
      <c r="G46" s="434" t="s">
        <v>3</v>
      </c>
      <c r="H46" s="434" t="s">
        <v>2</v>
      </c>
      <c r="I46" s="434" t="s">
        <v>1</v>
      </c>
      <c r="J46" s="434" t="s">
        <v>25</v>
      </c>
      <c r="K46" s="435">
        <v>1</v>
      </c>
      <c r="L46" s="435"/>
      <c r="M46" s="434" t="s">
        <v>25</v>
      </c>
      <c r="N46" s="436">
        <v>2.08</v>
      </c>
      <c r="O46" s="436">
        <v>2.0299999999999998</v>
      </c>
      <c r="P46" s="436">
        <v>1.98</v>
      </c>
      <c r="Q46" s="436">
        <v>1.92</v>
      </c>
      <c r="R46" s="436">
        <v>1.87</v>
      </c>
      <c r="S46" s="260"/>
      <c r="T46" s="261">
        <f t="shared" si="2"/>
        <v>0</v>
      </c>
      <c r="U46" s="437">
        <v>60</v>
      </c>
      <c r="V46" s="438">
        <v>389.35756002595718</v>
      </c>
      <c r="W46" s="439">
        <v>0</v>
      </c>
      <c r="X46" s="440">
        <v>2106</v>
      </c>
      <c r="Y46" s="262">
        <f t="shared" si="3"/>
        <v>0</v>
      </c>
    </row>
    <row r="47" spans="1:25" ht="16.5">
      <c r="A47" s="445" t="s">
        <v>300</v>
      </c>
      <c r="B47" s="434" t="s">
        <v>61</v>
      </c>
      <c r="C47" s="435">
        <v>18</v>
      </c>
      <c r="D47" s="435">
        <v>13</v>
      </c>
      <c r="E47" s="435">
        <v>9</v>
      </c>
      <c r="F47" s="434" t="s">
        <v>25</v>
      </c>
      <c r="G47" s="434" t="s">
        <v>3</v>
      </c>
      <c r="H47" s="434" t="s">
        <v>7</v>
      </c>
      <c r="I47" s="434" t="s">
        <v>1</v>
      </c>
      <c r="J47" s="434" t="s">
        <v>25</v>
      </c>
      <c r="K47" s="435">
        <v>25</v>
      </c>
      <c r="L47" s="435"/>
      <c r="M47" s="434" t="s">
        <v>25</v>
      </c>
      <c r="N47" s="436">
        <v>1.22</v>
      </c>
      <c r="O47" s="436">
        <v>1.19</v>
      </c>
      <c r="P47" s="436">
        <v>1.1599999999999999</v>
      </c>
      <c r="Q47" s="436">
        <v>1.1299999999999999</v>
      </c>
      <c r="R47" s="436">
        <v>1.1000000000000001</v>
      </c>
      <c r="S47" s="260"/>
      <c r="T47" s="261">
        <f t="shared" si="2"/>
        <v>0</v>
      </c>
      <c r="U47" s="437">
        <v>65</v>
      </c>
      <c r="V47" s="438">
        <v>421.80402336145363</v>
      </c>
      <c r="W47" s="439">
        <v>3.3</v>
      </c>
      <c r="X47" s="440">
        <v>2106</v>
      </c>
      <c r="Y47" s="262">
        <f t="shared" si="3"/>
        <v>0</v>
      </c>
    </row>
    <row r="48" spans="1:25" ht="16.5">
      <c r="A48" s="445" t="s">
        <v>300</v>
      </c>
      <c r="B48" s="434" t="s">
        <v>62</v>
      </c>
      <c r="C48" s="435">
        <v>18</v>
      </c>
      <c r="D48" s="435">
        <v>14</v>
      </c>
      <c r="E48" s="435">
        <v>5</v>
      </c>
      <c r="F48" s="434" t="s">
        <v>25</v>
      </c>
      <c r="G48" s="434" t="s">
        <v>3</v>
      </c>
      <c r="H48" s="434" t="s">
        <v>2</v>
      </c>
      <c r="I48" s="434" t="s">
        <v>1</v>
      </c>
      <c r="J48" s="434" t="s">
        <v>25</v>
      </c>
      <c r="K48" s="435">
        <v>25</v>
      </c>
      <c r="L48" s="435"/>
      <c r="M48" s="434" t="s">
        <v>25</v>
      </c>
      <c r="N48" s="436">
        <v>2</v>
      </c>
      <c r="O48" s="436">
        <v>1.95</v>
      </c>
      <c r="P48" s="436">
        <v>1.9</v>
      </c>
      <c r="Q48" s="436">
        <v>1.85</v>
      </c>
      <c r="R48" s="436">
        <v>1.8</v>
      </c>
      <c r="S48" s="260"/>
      <c r="T48" s="261">
        <f t="shared" si="2"/>
        <v>0</v>
      </c>
      <c r="U48" s="437">
        <v>60</v>
      </c>
      <c r="V48" s="438">
        <v>434.78260869565213</v>
      </c>
      <c r="W48" s="439">
        <v>3.3</v>
      </c>
      <c r="X48" s="440">
        <v>1260</v>
      </c>
      <c r="Y48" s="262">
        <f t="shared" si="3"/>
        <v>0</v>
      </c>
    </row>
    <row r="49" spans="1:25" ht="16.5">
      <c r="A49" s="445" t="s">
        <v>300</v>
      </c>
      <c r="B49" s="434" t="s">
        <v>63</v>
      </c>
      <c r="C49" s="435">
        <v>18</v>
      </c>
      <c r="D49" s="435">
        <v>18</v>
      </c>
      <c r="E49" s="435">
        <v>18</v>
      </c>
      <c r="F49" s="434" t="s">
        <v>25</v>
      </c>
      <c r="G49" s="434" t="s">
        <v>3</v>
      </c>
      <c r="H49" s="434" t="s">
        <v>7</v>
      </c>
      <c r="I49" s="434" t="s">
        <v>1</v>
      </c>
      <c r="J49" s="434" t="s">
        <v>25</v>
      </c>
      <c r="K49" s="435">
        <v>25</v>
      </c>
      <c r="L49" s="435"/>
      <c r="M49" s="434" t="s">
        <v>25</v>
      </c>
      <c r="N49" s="436">
        <v>1.92</v>
      </c>
      <c r="O49" s="436">
        <v>1.87</v>
      </c>
      <c r="P49" s="436">
        <v>1.82</v>
      </c>
      <c r="Q49" s="436">
        <v>1.78</v>
      </c>
      <c r="R49" s="436">
        <v>1.73</v>
      </c>
      <c r="S49" s="260"/>
      <c r="T49" s="261">
        <f t="shared" si="2"/>
        <v>0</v>
      </c>
      <c r="U49" s="437">
        <v>150</v>
      </c>
      <c r="V49" s="438">
        <v>526.50052650052658</v>
      </c>
      <c r="W49" s="439">
        <v>3.3</v>
      </c>
      <c r="X49" s="440">
        <v>5832</v>
      </c>
      <c r="Y49" s="262">
        <f t="shared" si="3"/>
        <v>0</v>
      </c>
    </row>
    <row r="50" spans="1:25" ht="16.5">
      <c r="A50" s="445" t="s">
        <v>300</v>
      </c>
      <c r="B50" s="434" t="s">
        <v>64</v>
      </c>
      <c r="C50" s="435">
        <v>19</v>
      </c>
      <c r="D50" s="435">
        <v>11</v>
      </c>
      <c r="E50" s="435">
        <v>3</v>
      </c>
      <c r="F50" s="434" t="s">
        <v>25</v>
      </c>
      <c r="G50" s="434" t="s">
        <v>3</v>
      </c>
      <c r="H50" s="434" t="s">
        <v>7</v>
      </c>
      <c r="I50" s="434" t="s">
        <v>1</v>
      </c>
      <c r="J50" s="434" t="s">
        <v>25</v>
      </c>
      <c r="K50" s="435">
        <v>25</v>
      </c>
      <c r="L50" s="435"/>
      <c r="M50" s="434" t="s">
        <v>25</v>
      </c>
      <c r="N50" s="436">
        <v>0.7</v>
      </c>
      <c r="O50" s="436">
        <v>0.68</v>
      </c>
      <c r="P50" s="436">
        <v>0.66</v>
      </c>
      <c r="Q50" s="436">
        <v>0.65</v>
      </c>
      <c r="R50" s="436">
        <v>0.63</v>
      </c>
      <c r="S50" s="260"/>
      <c r="T50" s="261">
        <f t="shared" si="2"/>
        <v>0</v>
      </c>
      <c r="U50" s="437">
        <v>50</v>
      </c>
      <c r="V50" s="438">
        <v>512.82051282051282</v>
      </c>
      <c r="W50" s="439">
        <v>3.3</v>
      </c>
      <c r="X50" s="440">
        <v>627</v>
      </c>
      <c r="Y50" s="262">
        <f t="shared" si="3"/>
        <v>0</v>
      </c>
    </row>
    <row r="51" spans="1:25" ht="16.5">
      <c r="A51" s="445" t="s">
        <v>300</v>
      </c>
      <c r="B51" s="434" t="s">
        <v>65</v>
      </c>
      <c r="C51" s="435">
        <v>19</v>
      </c>
      <c r="D51" s="435">
        <v>11</v>
      </c>
      <c r="E51" s="435">
        <v>3</v>
      </c>
      <c r="F51" s="434" t="s">
        <v>25</v>
      </c>
      <c r="G51" s="434" t="s">
        <v>3</v>
      </c>
      <c r="H51" s="434" t="s">
        <v>2</v>
      </c>
      <c r="I51" s="434" t="s">
        <v>10</v>
      </c>
      <c r="J51" s="434" t="s">
        <v>25</v>
      </c>
      <c r="K51" s="435">
        <v>25</v>
      </c>
      <c r="L51" s="435"/>
      <c r="M51" s="434" t="s">
        <v>25</v>
      </c>
      <c r="N51" s="436">
        <v>1.3</v>
      </c>
      <c r="O51" s="436">
        <v>1.27</v>
      </c>
      <c r="P51" s="436">
        <v>1.23</v>
      </c>
      <c r="Q51" s="436">
        <v>1.2</v>
      </c>
      <c r="R51" s="436">
        <v>1.17</v>
      </c>
      <c r="S51" s="260"/>
      <c r="T51" s="261">
        <f t="shared" si="2"/>
        <v>0</v>
      </c>
      <c r="U51" s="437">
        <v>35</v>
      </c>
      <c r="V51" s="438">
        <v>358.97435897435895</v>
      </c>
      <c r="W51" s="439">
        <v>5.5</v>
      </c>
      <c r="X51" s="440">
        <v>627</v>
      </c>
      <c r="Y51" s="262">
        <f t="shared" si="3"/>
        <v>0</v>
      </c>
    </row>
    <row r="52" spans="1:25" ht="16.5">
      <c r="A52" s="445" t="s">
        <v>300</v>
      </c>
      <c r="B52" s="434" t="s">
        <v>66</v>
      </c>
      <c r="C52" s="435">
        <v>19</v>
      </c>
      <c r="D52" s="435">
        <v>11</v>
      </c>
      <c r="E52" s="435">
        <v>4</v>
      </c>
      <c r="F52" s="434" t="s">
        <v>25</v>
      </c>
      <c r="G52" s="434" t="s">
        <v>3</v>
      </c>
      <c r="H52" s="434" t="s">
        <v>7</v>
      </c>
      <c r="I52" s="434" t="s">
        <v>1</v>
      </c>
      <c r="J52" s="434" t="s">
        <v>25</v>
      </c>
      <c r="K52" s="435">
        <v>25</v>
      </c>
      <c r="L52" s="435"/>
      <c r="M52" s="434" t="s">
        <v>25</v>
      </c>
      <c r="N52" s="436">
        <v>0.92</v>
      </c>
      <c r="O52" s="436">
        <v>0.9</v>
      </c>
      <c r="P52" s="436">
        <v>0.87</v>
      </c>
      <c r="Q52" s="436">
        <v>0.85</v>
      </c>
      <c r="R52" s="436">
        <v>0.83</v>
      </c>
      <c r="S52" s="260"/>
      <c r="T52" s="261">
        <f t="shared" si="2"/>
        <v>0</v>
      </c>
      <c r="U52" s="437">
        <v>30</v>
      </c>
      <c r="V52" s="438">
        <v>288.46153846153845</v>
      </c>
      <c r="W52" s="439">
        <v>3.3</v>
      </c>
      <c r="X52" s="440">
        <v>836</v>
      </c>
      <c r="Y52" s="262">
        <f t="shared" si="3"/>
        <v>0</v>
      </c>
    </row>
    <row r="53" spans="1:25" ht="16.5">
      <c r="A53" s="445" t="s">
        <v>300</v>
      </c>
      <c r="B53" s="434" t="s">
        <v>67</v>
      </c>
      <c r="C53" s="435">
        <v>19</v>
      </c>
      <c r="D53" s="435">
        <v>12</v>
      </c>
      <c r="E53" s="435">
        <v>12</v>
      </c>
      <c r="F53" s="434" t="s">
        <v>25</v>
      </c>
      <c r="G53" s="434" t="s">
        <v>3</v>
      </c>
      <c r="H53" s="434" t="s">
        <v>7</v>
      </c>
      <c r="I53" s="434" t="s">
        <v>1</v>
      </c>
      <c r="J53" s="434" t="s">
        <v>25</v>
      </c>
      <c r="K53" s="435">
        <v>25</v>
      </c>
      <c r="L53" s="435"/>
      <c r="M53" s="434" t="s">
        <v>25</v>
      </c>
      <c r="N53" s="436">
        <v>1.18</v>
      </c>
      <c r="O53" s="436">
        <v>1.1499999999999999</v>
      </c>
      <c r="P53" s="436">
        <v>1.1200000000000001</v>
      </c>
      <c r="Q53" s="436">
        <v>1.0900000000000001</v>
      </c>
      <c r="R53" s="436">
        <v>1.06</v>
      </c>
      <c r="S53" s="260"/>
      <c r="T53" s="261">
        <f t="shared" si="2"/>
        <v>0</v>
      </c>
      <c r="U53" s="437">
        <v>65</v>
      </c>
      <c r="V53" s="438">
        <v>388.05970149253727</v>
      </c>
      <c r="W53" s="439">
        <v>3.3</v>
      </c>
      <c r="X53" s="440">
        <v>2736</v>
      </c>
      <c r="Y53" s="262">
        <f t="shared" si="3"/>
        <v>0</v>
      </c>
    </row>
    <row r="54" spans="1:25" ht="16.5">
      <c r="A54" s="445" t="s">
        <v>300</v>
      </c>
      <c r="B54" s="434" t="s">
        <v>68</v>
      </c>
      <c r="C54" s="435">
        <v>19</v>
      </c>
      <c r="D54" s="435">
        <v>14</v>
      </c>
      <c r="E54" s="435">
        <v>4</v>
      </c>
      <c r="F54" s="434" t="s">
        <v>25</v>
      </c>
      <c r="G54" s="434" t="s">
        <v>3</v>
      </c>
      <c r="H54" s="434" t="s">
        <v>2</v>
      </c>
      <c r="I54" s="434" t="s">
        <v>1</v>
      </c>
      <c r="J54" s="434" t="s">
        <v>25</v>
      </c>
      <c r="K54" s="435">
        <v>25</v>
      </c>
      <c r="L54" s="435"/>
      <c r="M54" s="434" t="s">
        <v>25</v>
      </c>
      <c r="N54" s="436">
        <v>1.26</v>
      </c>
      <c r="O54" s="436">
        <v>1.23</v>
      </c>
      <c r="P54" s="436">
        <v>1.2</v>
      </c>
      <c r="Q54" s="436">
        <v>1.17</v>
      </c>
      <c r="R54" s="436">
        <v>1.1299999999999999</v>
      </c>
      <c r="S54" s="260"/>
      <c r="T54" s="261">
        <f t="shared" si="2"/>
        <v>0</v>
      </c>
      <c r="U54" s="437">
        <v>60</v>
      </c>
      <c r="V54" s="438">
        <v>444.77390659747965</v>
      </c>
      <c r="W54" s="439">
        <v>3.3</v>
      </c>
      <c r="X54" s="440">
        <v>1064</v>
      </c>
      <c r="Y54" s="262">
        <f t="shared" si="3"/>
        <v>0</v>
      </c>
    </row>
    <row r="55" spans="1:25" ht="16.5">
      <c r="A55" s="445" t="s">
        <v>300</v>
      </c>
      <c r="B55" s="434" t="s">
        <v>319</v>
      </c>
      <c r="C55" s="435">
        <v>20</v>
      </c>
      <c r="D55" s="435">
        <v>12</v>
      </c>
      <c r="E55" s="435">
        <v>5</v>
      </c>
      <c r="F55" s="434" t="s">
        <v>25</v>
      </c>
      <c r="G55" s="434" t="s">
        <v>3</v>
      </c>
      <c r="H55" s="434" t="s">
        <v>7</v>
      </c>
      <c r="I55" s="434" t="s">
        <v>1</v>
      </c>
      <c r="J55" s="434" t="s">
        <v>25</v>
      </c>
      <c r="K55" s="435">
        <v>25</v>
      </c>
      <c r="L55" s="435"/>
      <c r="M55" s="434" t="s">
        <v>25</v>
      </c>
      <c r="N55" s="436">
        <v>1</v>
      </c>
      <c r="O55" s="436">
        <v>0.98</v>
      </c>
      <c r="P55" s="436">
        <v>0.95</v>
      </c>
      <c r="Q55" s="436">
        <v>0.93</v>
      </c>
      <c r="R55" s="436">
        <v>0.9</v>
      </c>
      <c r="S55" s="260"/>
      <c r="T55" s="261">
        <f t="shared" si="2"/>
        <v>0</v>
      </c>
      <c r="U55" s="437">
        <v>54</v>
      </c>
      <c r="V55" s="438">
        <v>434.78260869565213</v>
      </c>
      <c r="W55" s="439">
        <v>0</v>
      </c>
      <c r="X55" s="440">
        <v>1200</v>
      </c>
      <c r="Y55" s="262">
        <f t="shared" si="3"/>
        <v>0</v>
      </c>
    </row>
    <row r="56" spans="1:25" ht="16.5">
      <c r="A56" s="445" t="s">
        <v>300</v>
      </c>
      <c r="B56" s="434" t="s">
        <v>337</v>
      </c>
      <c r="C56" s="435">
        <v>20</v>
      </c>
      <c r="D56" s="435">
        <v>12</v>
      </c>
      <c r="E56" s="435">
        <v>7</v>
      </c>
      <c r="F56" s="434" t="s">
        <v>25</v>
      </c>
      <c r="G56" s="434" t="s">
        <v>3</v>
      </c>
      <c r="H56" s="434" t="s">
        <v>7</v>
      </c>
      <c r="I56" s="434" t="s">
        <v>1</v>
      </c>
      <c r="J56" s="434" t="s">
        <v>25</v>
      </c>
      <c r="K56" s="435">
        <v>25</v>
      </c>
      <c r="L56" s="435"/>
      <c r="M56" s="434" t="s">
        <v>25</v>
      </c>
      <c r="N56" s="436">
        <v>1.22</v>
      </c>
      <c r="O56" s="436">
        <v>1.19</v>
      </c>
      <c r="P56" s="436">
        <v>1.1599999999999999</v>
      </c>
      <c r="Q56" s="436">
        <v>1.1299999999999999</v>
      </c>
      <c r="R56" s="436">
        <v>1.1000000000000001</v>
      </c>
      <c r="S56" s="260"/>
      <c r="T56" s="261">
        <f t="shared" si="2"/>
        <v>0</v>
      </c>
      <c r="U56" s="437">
        <v>46</v>
      </c>
      <c r="V56" s="438">
        <v>333.33333333333331</v>
      </c>
      <c r="W56" s="439">
        <v>0</v>
      </c>
      <c r="X56" s="440">
        <v>1680</v>
      </c>
      <c r="Y56" s="262">
        <f t="shared" si="3"/>
        <v>0</v>
      </c>
    </row>
    <row r="57" spans="1:25" ht="16.5">
      <c r="A57" s="445" t="s">
        <v>300</v>
      </c>
      <c r="B57" s="434" t="s">
        <v>69</v>
      </c>
      <c r="C57" s="435">
        <v>20</v>
      </c>
      <c r="D57" s="435">
        <v>13</v>
      </c>
      <c r="E57" s="435">
        <v>3</v>
      </c>
      <c r="F57" s="434" t="s">
        <v>25</v>
      </c>
      <c r="G57" s="434" t="s">
        <v>3</v>
      </c>
      <c r="H57" s="434" t="s">
        <v>7</v>
      </c>
      <c r="I57" s="434" t="s">
        <v>1</v>
      </c>
      <c r="J57" s="434" t="s">
        <v>25</v>
      </c>
      <c r="K57" s="435">
        <v>25</v>
      </c>
      <c r="L57" s="435"/>
      <c r="M57" s="434" t="s">
        <v>25</v>
      </c>
      <c r="N57" s="436">
        <v>0.96</v>
      </c>
      <c r="O57" s="436">
        <v>0.94</v>
      </c>
      <c r="P57" s="436">
        <v>0.91</v>
      </c>
      <c r="Q57" s="436">
        <v>0.89</v>
      </c>
      <c r="R57" s="436">
        <v>0.86</v>
      </c>
      <c r="S57" s="260"/>
      <c r="T57" s="261">
        <f t="shared" si="2"/>
        <v>0</v>
      </c>
      <c r="U57" s="437">
        <v>50</v>
      </c>
      <c r="V57" s="438">
        <v>414.25020712510354</v>
      </c>
      <c r="W57" s="439">
        <v>3.3</v>
      </c>
      <c r="X57" s="440">
        <v>780</v>
      </c>
      <c r="Y57" s="262">
        <f t="shared" si="3"/>
        <v>0</v>
      </c>
    </row>
    <row r="58" spans="1:25" ht="16.5">
      <c r="A58" s="445" t="s">
        <v>25</v>
      </c>
      <c r="B58" s="434" t="s">
        <v>383</v>
      </c>
      <c r="C58" s="435">
        <v>20</v>
      </c>
      <c r="D58" s="435">
        <v>13</v>
      </c>
      <c r="E58" s="435">
        <v>22</v>
      </c>
      <c r="F58" s="434" t="s">
        <v>25</v>
      </c>
      <c r="G58" s="434" t="s">
        <v>4</v>
      </c>
      <c r="H58" s="434" t="s">
        <v>7</v>
      </c>
      <c r="I58" s="434" t="s">
        <v>1</v>
      </c>
      <c r="J58" s="434" t="s">
        <v>25</v>
      </c>
      <c r="K58" s="435">
        <v>1</v>
      </c>
      <c r="L58" s="435"/>
      <c r="M58" s="434" t="s">
        <v>25</v>
      </c>
      <c r="N58" s="436">
        <v>0.92</v>
      </c>
      <c r="O58" s="436">
        <v>0.9</v>
      </c>
      <c r="P58" s="436">
        <v>0.87</v>
      </c>
      <c r="Q58" s="436">
        <v>0.85</v>
      </c>
      <c r="R58" s="436">
        <v>0.83</v>
      </c>
      <c r="S58" s="260"/>
      <c r="T58" s="261">
        <f t="shared" si="2"/>
        <v>0</v>
      </c>
      <c r="U58" s="437">
        <v>102</v>
      </c>
      <c r="V58" s="438">
        <v>399.06103286384979</v>
      </c>
      <c r="W58" s="439">
        <v>0</v>
      </c>
      <c r="X58" s="440">
        <v>5720</v>
      </c>
      <c r="Y58" s="262">
        <f t="shared" si="3"/>
        <v>0</v>
      </c>
    </row>
    <row r="59" spans="1:25" ht="16.5">
      <c r="A59" s="445" t="s">
        <v>300</v>
      </c>
      <c r="B59" s="434" t="s">
        <v>70</v>
      </c>
      <c r="C59" s="435">
        <v>20</v>
      </c>
      <c r="D59" s="435">
        <v>14</v>
      </c>
      <c r="E59" s="435">
        <v>6</v>
      </c>
      <c r="F59" s="434" t="s">
        <v>25</v>
      </c>
      <c r="G59" s="434" t="s">
        <v>3</v>
      </c>
      <c r="H59" s="434" t="s">
        <v>7</v>
      </c>
      <c r="I59" s="434" t="s">
        <v>1</v>
      </c>
      <c r="J59" s="434" t="s">
        <v>25</v>
      </c>
      <c r="K59" s="435">
        <v>25</v>
      </c>
      <c r="L59" s="435"/>
      <c r="M59" s="434" t="s">
        <v>25</v>
      </c>
      <c r="N59" s="436">
        <v>1.1399999999999999</v>
      </c>
      <c r="O59" s="436">
        <v>1.1100000000000001</v>
      </c>
      <c r="P59" s="436">
        <v>1.08</v>
      </c>
      <c r="Q59" s="436">
        <v>1.05</v>
      </c>
      <c r="R59" s="436">
        <v>1.03</v>
      </c>
      <c r="S59" s="260"/>
      <c r="T59" s="261">
        <f t="shared" si="2"/>
        <v>0</v>
      </c>
      <c r="U59" s="437">
        <v>55</v>
      </c>
      <c r="V59" s="438">
        <v>358.77364644487932</v>
      </c>
      <c r="W59" s="439">
        <v>3.3</v>
      </c>
      <c r="X59" s="440">
        <v>1680</v>
      </c>
      <c r="Y59" s="262">
        <f t="shared" si="3"/>
        <v>0</v>
      </c>
    </row>
    <row r="60" spans="1:25" ht="16.5">
      <c r="A60" s="445" t="s">
        <v>300</v>
      </c>
      <c r="B60" s="434" t="s">
        <v>71</v>
      </c>
      <c r="C60" s="435">
        <v>20</v>
      </c>
      <c r="D60" s="435">
        <v>14</v>
      </c>
      <c r="E60" s="435">
        <v>7</v>
      </c>
      <c r="F60" s="434" t="s">
        <v>25</v>
      </c>
      <c r="G60" s="434" t="s">
        <v>3</v>
      </c>
      <c r="H60" s="434" t="s">
        <v>2</v>
      </c>
      <c r="I60" s="434" t="s">
        <v>1</v>
      </c>
      <c r="J60" s="434" t="s">
        <v>25</v>
      </c>
      <c r="K60" s="435">
        <v>25</v>
      </c>
      <c r="L60" s="435"/>
      <c r="M60" s="434" t="s">
        <v>25</v>
      </c>
      <c r="N60" s="436">
        <v>2.7</v>
      </c>
      <c r="O60" s="436">
        <v>2.63</v>
      </c>
      <c r="P60" s="436">
        <v>2.56</v>
      </c>
      <c r="Q60" s="436">
        <v>2.5</v>
      </c>
      <c r="R60" s="436">
        <v>2.4300000000000002</v>
      </c>
      <c r="S60" s="260"/>
      <c r="T60" s="261">
        <f t="shared" si="2"/>
        <v>0</v>
      </c>
      <c r="U60" s="437">
        <v>70</v>
      </c>
      <c r="V60" s="438">
        <v>435.86550435865507</v>
      </c>
      <c r="W60" s="439">
        <v>3.3</v>
      </c>
      <c r="X60" s="440">
        <v>1960</v>
      </c>
      <c r="Y60" s="262">
        <f t="shared" si="3"/>
        <v>0</v>
      </c>
    </row>
    <row r="61" spans="1:25" ht="16.5">
      <c r="A61" s="445" t="s">
        <v>300</v>
      </c>
      <c r="B61" s="434" t="s">
        <v>72</v>
      </c>
      <c r="C61" s="435">
        <v>20</v>
      </c>
      <c r="D61" s="435">
        <v>14</v>
      </c>
      <c r="E61" s="435">
        <v>11</v>
      </c>
      <c r="F61" s="434" t="s">
        <v>25</v>
      </c>
      <c r="G61" s="434" t="s">
        <v>3</v>
      </c>
      <c r="H61" s="434" t="s">
        <v>7</v>
      </c>
      <c r="I61" s="434" t="s">
        <v>1</v>
      </c>
      <c r="J61" s="434" t="s">
        <v>25</v>
      </c>
      <c r="K61" s="435">
        <v>25</v>
      </c>
      <c r="L61" s="435"/>
      <c r="M61" s="434" t="s">
        <v>25</v>
      </c>
      <c r="N61" s="436">
        <v>1.44</v>
      </c>
      <c r="O61" s="436">
        <v>1.4</v>
      </c>
      <c r="P61" s="436">
        <v>1.37</v>
      </c>
      <c r="Q61" s="436">
        <v>1.33</v>
      </c>
      <c r="R61" s="436">
        <v>1.3</v>
      </c>
      <c r="S61" s="260"/>
      <c r="T61" s="261">
        <f t="shared" si="2"/>
        <v>0</v>
      </c>
      <c r="U61" s="437">
        <v>70</v>
      </c>
      <c r="V61" s="438">
        <v>368.80927291886195</v>
      </c>
      <c r="W61" s="439">
        <v>3.3</v>
      </c>
      <c r="X61" s="440">
        <v>3080</v>
      </c>
      <c r="Y61" s="262">
        <f t="shared" si="3"/>
        <v>0</v>
      </c>
    </row>
    <row r="62" spans="1:25" ht="16.5">
      <c r="A62" s="445" t="s">
        <v>25</v>
      </c>
      <c r="B62" s="434" t="s">
        <v>384</v>
      </c>
      <c r="C62" s="435">
        <v>20</v>
      </c>
      <c r="D62" s="435">
        <v>14</v>
      </c>
      <c r="E62" s="435">
        <v>20</v>
      </c>
      <c r="F62" s="434" t="s">
        <v>25</v>
      </c>
      <c r="G62" s="434" t="s">
        <v>4</v>
      </c>
      <c r="H62" s="434" t="s">
        <v>7</v>
      </c>
      <c r="I62" s="434" t="s">
        <v>1</v>
      </c>
      <c r="J62" s="434" t="s">
        <v>25</v>
      </c>
      <c r="K62" s="435">
        <v>1</v>
      </c>
      <c r="L62" s="435"/>
      <c r="M62" s="434" t="s">
        <v>25</v>
      </c>
      <c r="N62" s="436">
        <v>0.86</v>
      </c>
      <c r="O62" s="436">
        <v>0.84</v>
      </c>
      <c r="P62" s="436">
        <v>0.82</v>
      </c>
      <c r="Q62" s="436">
        <v>0.8</v>
      </c>
      <c r="R62" s="436">
        <v>0.77</v>
      </c>
      <c r="S62" s="260"/>
      <c r="T62" s="261">
        <f t="shared" si="2"/>
        <v>0</v>
      </c>
      <c r="U62" s="437">
        <v>96</v>
      </c>
      <c r="V62" s="438">
        <v>375.73385518590999</v>
      </c>
      <c r="W62" s="439">
        <v>0</v>
      </c>
      <c r="X62" s="440">
        <v>5600</v>
      </c>
      <c r="Y62" s="262">
        <f t="shared" si="3"/>
        <v>0</v>
      </c>
    </row>
    <row r="63" spans="1:25" ht="16.5">
      <c r="A63" s="445" t="s">
        <v>300</v>
      </c>
      <c r="B63" s="434" t="s">
        <v>73</v>
      </c>
      <c r="C63" s="435">
        <v>20</v>
      </c>
      <c r="D63" s="435">
        <v>15</v>
      </c>
      <c r="E63" s="435">
        <v>15</v>
      </c>
      <c r="F63" s="434" t="s">
        <v>25</v>
      </c>
      <c r="G63" s="434" t="s">
        <v>3</v>
      </c>
      <c r="H63" s="434" t="s">
        <v>7</v>
      </c>
      <c r="I63" s="434" t="s">
        <v>1</v>
      </c>
      <c r="J63" s="434" t="s">
        <v>25</v>
      </c>
      <c r="K63" s="435">
        <v>25</v>
      </c>
      <c r="L63" s="435"/>
      <c r="M63" s="434" t="s">
        <v>25</v>
      </c>
      <c r="N63" s="436">
        <v>1.6</v>
      </c>
      <c r="O63" s="436">
        <v>1.56</v>
      </c>
      <c r="P63" s="436">
        <v>1.52</v>
      </c>
      <c r="Q63" s="436">
        <v>1.48</v>
      </c>
      <c r="R63" s="436">
        <v>1.44</v>
      </c>
      <c r="S63" s="260"/>
      <c r="T63" s="261">
        <f t="shared" ref="T63:T94" si="4">(CHOOSE(((($L63&gt;=(0))+($L63&gt;=($O$6))+($L63&gt;=($P$6))+($L63&gt;=($Q$6))+($L63&gt;=($R$6)))),N63,O63,P63,Q63,R63))*L63</f>
        <v>0</v>
      </c>
      <c r="U63" s="437">
        <v>80</v>
      </c>
      <c r="V63" s="438">
        <v>344.08602150537632</v>
      </c>
      <c r="W63" s="439">
        <v>3.3</v>
      </c>
      <c r="X63" s="440">
        <v>4500</v>
      </c>
      <c r="Y63" s="262">
        <f t="shared" ref="Y63:Y94" si="5">(C63*D63*E63)-X63</f>
        <v>0</v>
      </c>
    </row>
    <row r="64" spans="1:25" ht="16.5">
      <c r="A64" s="445" t="s">
        <v>300</v>
      </c>
      <c r="B64" s="434" t="s">
        <v>74</v>
      </c>
      <c r="C64" s="435">
        <v>20</v>
      </c>
      <c r="D64" s="435">
        <v>16</v>
      </c>
      <c r="E64" s="435">
        <v>7</v>
      </c>
      <c r="F64" s="434" t="s">
        <v>25</v>
      </c>
      <c r="G64" s="434" t="s">
        <v>3</v>
      </c>
      <c r="H64" s="434" t="s">
        <v>7</v>
      </c>
      <c r="I64" s="434" t="s">
        <v>1</v>
      </c>
      <c r="J64" s="434" t="s">
        <v>25</v>
      </c>
      <c r="K64" s="435">
        <v>25</v>
      </c>
      <c r="L64" s="435"/>
      <c r="M64" s="434" t="s">
        <v>25</v>
      </c>
      <c r="N64" s="436">
        <v>1.36</v>
      </c>
      <c r="O64" s="436">
        <v>1.33</v>
      </c>
      <c r="P64" s="436">
        <v>1.29</v>
      </c>
      <c r="Q64" s="436">
        <v>1.26</v>
      </c>
      <c r="R64" s="436">
        <v>1.22</v>
      </c>
      <c r="S64" s="260"/>
      <c r="T64" s="261">
        <f t="shared" si="4"/>
        <v>0</v>
      </c>
      <c r="U64" s="437">
        <v>60</v>
      </c>
      <c r="V64" s="438">
        <v>324.6753246753247</v>
      </c>
      <c r="W64" s="439">
        <v>3.3</v>
      </c>
      <c r="X64" s="440">
        <v>2240</v>
      </c>
      <c r="Y64" s="262">
        <f t="shared" si="5"/>
        <v>0</v>
      </c>
    </row>
    <row r="65" spans="1:25" ht="16.5">
      <c r="A65" s="445" t="s">
        <v>300</v>
      </c>
      <c r="B65" s="434" t="s">
        <v>75</v>
      </c>
      <c r="C65" s="435">
        <v>20</v>
      </c>
      <c r="D65" s="435">
        <v>16</v>
      </c>
      <c r="E65" s="435">
        <v>9</v>
      </c>
      <c r="F65" s="434" t="s">
        <v>25</v>
      </c>
      <c r="G65" s="434" t="s">
        <v>3</v>
      </c>
      <c r="H65" s="434" t="s">
        <v>7</v>
      </c>
      <c r="I65" s="434" t="s">
        <v>1</v>
      </c>
      <c r="J65" s="434" t="s">
        <v>25</v>
      </c>
      <c r="K65" s="435">
        <v>25</v>
      </c>
      <c r="L65" s="435"/>
      <c r="M65" s="434" t="s">
        <v>25</v>
      </c>
      <c r="N65" s="436">
        <v>1.44</v>
      </c>
      <c r="O65" s="436">
        <v>1.4</v>
      </c>
      <c r="P65" s="436">
        <v>1.37</v>
      </c>
      <c r="Q65" s="436">
        <v>1.33</v>
      </c>
      <c r="R65" s="436">
        <v>1.3</v>
      </c>
      <c r="S65" s="260"/>
      <c r="T65" s="261">
        <f t="shared" si="4"/>
        <v>0</v>
      </c>
      <c r="U65" s="437">
        <v>70</v>
      </c>
      <c r="V65" s="438">
        <v>349.65034965034965</v>
      </c>
      <c r="W65" s="439">
        <v>3.3</v>
      </c>
      <c r="X65" s="440">
        <v>2880</v>
      </c>
      <c r="Y65" s="262">
        <f t="shared" si="5"/>
        <v>0</v>
      </c>
    </row>
    <row r="66" spans="1:25" ht="16.5">
      <c r="A66" s="445" t="s">
        <v>300</v>
      </c>
      <c r="B66" s="434" t="s">
        <v>12</v>
      </c>
      <c r="C66" s="435">
        <v>20</v>
      </c>
      <c r="D66" s="435">
        <v>18</v>
      </c>
      <c r="E66" s="435">
        <v>12</v>
      </c>
      <c r="F66" s="434" t="s">
        <v>25</v>
      </c>
      <c r="G66" s="434" t="s">
        <v>3</v>
      </c>
      <c r="H66" s="434" t="s">
        <v>7</v>
      </c>
      <c r="I66" s="434" t="s">
        <v>1</v>
      </c>
      <c r="J66" s="434" t="s">
        <v>25</v>
      </c>
      <c r="K66" s="435">
        <v>25</v>
      </c>
      <c r="L66" s="435"/>
      <c r="M66" s="434" t="s">
        <v>25</v>
      </c>
      <c r="N66" s="436">
        <v>2.76</v>
      </c>
      <c r="O66" s="436">
        <v>2.69</v>
      </c>
      <c r="P66" s="436">
        <v>2.62</v>
      </c>
      <c r="Q66" s="436">
        <v>2.5499999999999998</v>
      </c>
      <c r="R66" s="436">
        <v>2.48</v>
      </c>
      <c r="S66" s="260"/>
      <c r="T66" s="261">
        <f t="shared" si="4"/>
        <v>0</v>
      </c>
      <c r="U66" s="437">
        <v>95</v>
      </c>
      <c r="V66" s="438">
        <v>378.33532457188375</v>
      </c>
      <c r="W66" s="439">
        <v>3.3</v>
      </c>
      <c r="X66" s="440">
        <v>4320</v>
      </c>
      <c r="Y66" s="262">
        <f t="shared" si="5"/>
        <v>0</v>
      </c>
    </row>
    <row r="67" spans="1:25" ht="16.5">
      <c r="A67" s="445" t="s">
        <v>300</v>
      </c>
      <c r="B67" s="434" t="s">
        <v>76</v>
      </c>
      <c r="C67" s="435">
        <v>20</v>
      </c>
      <c r="D67" s="435">
        <v>19</v>
      </c>
      <c r="E67" s="435">
        <v>7</v>
      </c>
      <c r="F67" s="434" t="s">
        <v>25</v>
      </c>
      <c r="G67" s="434" t="s">
        <v>3</v>
      </c>
      <c r="H67" s="434" t="s">
        <v>2</v>
      </c>
      <c r="I67" s="434" t="s">
        <v>1</v>
      </c>
      <c r="J67" s="434" t="s">
        <v>25</v>
      </c>
      <c r="K67" s="435">
        <v>25</v>
      </c>
      <c r="L67" s="435"/>
      <c r="M67" s="434" t="s">
        <v>25</v>
      </c>
      <c r="N67" s="436">
        <v>3.4</v>
      </c>
      <c r="O67" s="436">
        <v>3.32</v>
      </c>
      <c r="P67" s="436">
        <v>3.23</v>
      </c>
      <c r="Q67" s="436">
        <v>3.15</v>
      </c>
      <c r="R67" s="436">
        <v>3.06</v>
      </c>
      <c r="S67" s="260"/>
      <c r="T67" s="261">
        <f t="shared" si="4"/>
        <v>0</v>
      </c>
      <c r="U67" s="437">
        <v>85</v>
      </c>
      <c r="V67" s="438">
        <v>379.29495760821061</v>
      </c>
      <c r="W67" s="439">
        <v>3.3</v>
      </c>
      <c r="X67" s="440">
        <v>2660</v>
      </c>
      <c r="Y67" s="262">
        <f t="shared" si="5"/>
        <v>0</v>
      </c>
    </row>
    <row r="68" spans="1:25" ht="16.5">
      <c r="A68" s="445" t="s">
        <v>300</v>
      </c>
      <c r="B68" s="434" t="s">
        <v>13</v>
      </c>
      <c r="C68" s="435">
        <v>20</v>
      </c>
      <c r="D68" s="435">
        <v>20</v>
      </c>
      <c r="E68" s="435">
        <v>6</v>
      </c>
      <c r="F68" s="434" t="s">
        <v>25</v>
      </c>
      <c r="G68" s="434" t="s">
        <v>3</v>
      </c>
      <c r="H68" s="434" t="s">
        <v>2</v>
      </c>
      <c r="I68" s="434" t="s">
        <v>1</v>
      </c>
      <c r="J68" s="434" t="s">
        <v>25</v>
      </c>
      <c r="K68" s="435">
        <v>25</v>
      </c>
      <c r="L68" s="435"/>
      <c r="M68" s="434" t="s">
        <v>25</v>
      </c>
      <c r="N68" s="436">
        <v>1.84</v>
      </c>
      <c r="O68" s="436">
        <v>1.79</v>
      </c>
      <c r="P68" s="436">
        <v>1.75</v>
      </c>
      <c r="Q68" s="436">
        <v>1.7</v>
      </c>
      <c r="R68" s="436">
        <v>1.66</v>
      </c>
      <c r="S68" s="260"/>
      <c r="T68" s="261">
        <f t="shared" si="4"/>
        <v>0</v>
      </c>
      <c r="U68" s="437">
        <v>90</v>
      </c>
      <c r="V68" s="438">
        <v>392.15686274509801</v>
      </c>
      <c r="W68" s="439">
        <v>3.3</v>
      </c>
      <c r="X68" s="440">
        <v>2400</v>
      </c>
      <c r="Y68" s="262">
        <f t="shared" si="5"/>
        <v>0</v>
      </c>
    </row>
    <row r="69" spans="1:25" ht="16.5">
      <c r="A69" s="445" t="s">
        <v>300</v>
      </c>
      <c r="B69" s="434" t="s">
        <v>77</v>
      </c>
      <c r="C69" s="435">
        <v>20</v>
      </c>
      <c r="D69" s="435">
        <v>20</v>
      </c>
      <c r="E69" s="435">
        <v>8</v>
      </c>
      <c r="F69" s="434" t="s">
        <v>25</v>
      </c>
      <c r="G69" s="434" t="s">
        <v>3</v>
      </c>
      <c r="H69" s="434" t="s">
        <v>7</v>
      </c>
      <c r="I69" s="434" t="s">
        <v>1</v>
      </c>
      <c r="J69" s="434" t="s">
        <v>25</v>
      </c>
      <c r="K69" s="435">
        <v>25</v>
      </c>
      <c r="L69" s="435"/>
      <c r="M69" s="434" t="s">
        <v>25</v>
      </c>
      <c r="N69" s="436">
        <v>1.56</v>
      </c>
      <c r="O69" s="436">
        <v>1.52</v>
      </c>
      <c r="P69" s="436">
        <v>1.48</v>
      </c>
      <c r="Q69" s="436">
        <v>1.44</v>
      </c>
      <c r="R69" s="436">
        <v>1.4</v>
      </c>
      <c r="S69" s="260"/>
      <c r="T69" s="261">
        <f t="shared" si="4"/>
        <v>0</v>
      </c>
      <c r="U69" s="437">
        <v>80</v>
      </c>
      <c r="V69" s="438">
        <v>324.54361054766736</v>
      </c>
      <c r="W69" s="439">
        <v>3.3</v>
      </c>
      <c r="X69" s="440">
        <v>3200</v>
      </c>
      <c r="Y69" s="262">
        <f t="shared" si="5"/>
        <v>0</v>
      </c>
    </row>
    <row r="70" spans="1:25" ht="16.5">
      <c r="A70" s="445" t="s">
        <v>25</v>
      </c>
      <c r="B70" s="434" t="s">
        <v>385</v>
      </c>
      <c r="C70" s="435">
        <v>20</v>
      </c>
      <c r="D70" s="435">
        <v>20</v>
      </c>
      <c r="E70" s="435">
        <v>14</v>
      </c>
      <c r="F70" s="434" t="s">
        <v>25</v>
      </c>
      <c r="G70" s="434" t="s">
        <v>3</v>
      </c>
      <c r="H70" s="434" t="s">
        <v>7</v>
      </c>
      <c r="I70" s="434" t="s">
        <v>1</v>
      </c>
      <c r="J70" s="434" t="s">
        <v>25</v>
      </c>
      <c r="K70" s="435">
        <v>1</v>
      </c>
      <c r="L70" s="435"/>
      <c r="M70" s="434" t="s">
        <v>25</v>
      </c>
      <c r="N70" s="436">
        <v>1.9</v>
      </c>
      <c r="O70" s="436">
        <v>1.85</v>
      </c>
      <c r="P70" s="436">
        <v>1.8</v>
      </c>
      <c r="Q70" s="436">
        <v>1.76</v>
      </c>
      <c r="R70" s="436">
        <v>1.71</v>
      </c>
      <c r="S70" s="260"/>
      <c r="T70" s="261">
        <f t="shared" si="4"/>
        <v>0</v>
      </c>
      <c r="U70" s="437">
        <v>114</v>
      </c>
      <c r="V70" s="438">
        <v>383.19327731092437</v>
      </c>
      <c r="W70" s="439">
        <v>0</v>
      </c>
      <c r="X70" s="440">
        <v>5600</v>
      </c>
      <c r="Y70" s="262">
        <f t="shared" si="5"/>
        <v>0</v>
      </c>
    </row>
    <row r="71" spans="1:25" ht="16.5">
      <c r="A71" s="445" t="s">
        <v>300</v>
      </c>
      <c r="B71" s="434" t="s">
        <v>78</v>
      </c>
      <c r="C71" s="435">
        <v>20</v>
      </c>
      <c r="D71" s="435">
        <v>20</v>
      </c>
      <c r="E71" s="435">
        <v>20</v>
      </c>
      <c r="F71" s="434" t="s">
        <v>25</v>
      </c>
      <c r="G71" s="434" t="s">
        <v>3</v>
      </c>
      <c r="H71" s="434" t="s">
        <v>7</v>
      </c>
      <c r="I71" s="434" t="s">
        <v>1</v>
      </c>
      <c r="J71" s="434" t="s">
        <v>25</v>
      </c>
      <c r="K71" s="435">
        <v>25</v>
      </c>
      <c r="L71" s="435"/>
      <c r="M71" s="434" t="s">
        <v>25</v>
      </c>
      <c r="N71" s="436">
        <v>2.2799999999999998</v>
      </c>
      <c r="O71" s="436">
        <v>2.2200000000000002</v>
      </c>
      <c r="P71" s="436">
        <v>2.17</v>
      </c>
      <c r="Q71" s="436">
        <v>2.11</v>
      </c>
      <c r="R71" s="436">
        <v>2.0499999999999998</v>
      </c>
      <c r="S71" s="260"/>
      <c r="T71" s="261">
        <f t="shared" si="4"/>
        <v>0</v>
      </c>
      <c r="U71" s="437">
        <v>130</v>
      </c>
      <c r="V71" s="438">
        <v>373.02725968436158</v>
      </c>
      <c r="W71" s="439">
        <v>3.3</v>
      </c>
      <c r="X71" s="440">
        <v>8000</v>
      </c>
      <c r="Y71" s="262">
        <f t="shared" si="5"/>
        <v>0</v>
      </c>
    </row>
    <row r="72" spans="1:25" ht="16.5">
      <c r="A72" s="445" t="s">
        <v>300</v>
      </c>
      <c r="B72" s="434" t="s">
        <v>79</v>
      </c>
      <c r="C72" s="435">
        <v>21</v>
      </c>
      <c r="D72" s="435">
        <v>14</v>
      </c>
      <c r="E72" s="435">
        <v>4</v>
      </c>
      <c r="F72" s="434" t="s">
        <v>25</v>
      </c>
      <c r="G72" s="434" t="s">
        <v>3</v>
      </c>
      <c r="H72" s="434" t="s">
        <v>2</v>
      </c>
      <c r="I72" s="434" t="s">
        <v>1</v>
      </c>
      <c r="J72" s="434" t="s">
        <v>25</v>
      </c>
      <c r="K72" s="435">
        <v>25</v>
      </c>
      <c r="L72" s="435"/>
      <c r="M72" s="434" t="s">
        <v>25</v>
      </c>
      <c r="N72" s="436">
        <v>1.8</v>
      </c>
      <c r="O72" s="436">
        <v>1.76</v>
      </c>
      <c r="P72" s="436">
        <v>1.71</v>
      </c>
      <c r="Q72" s="436">
        <v>1.67</v>
      </c>
      <c r="R72" s="436">
        <v>1.62</v>
      </c>
      <c r="S72" s="260"/>
      <c r="T72" s="261">
        <f t="shared" si="4"/>
        <v>0</v>
      </c>
      <c r="U72" s="437">
        <v>44</v>
      </c>
      <c r="V72" s="438">
        <v>308.77192982456143</v>
      </c>
      <c r="W72" s="439">
        <v>3.3</v>
      </c>
      <c r="X72" s="440">
        <v>1176</v>
      </c>
      <c r="Y72" s="262">
        <f t="shared" si="5"/>
        <v>0</v>
      </c>
    </row>
    <row r="73" spans="1:25" ht="16.5">
      <c r="A73" s="445" t="s">
        <v>300</v>
      </c>
      <c r="B73" s="434" t="s">
        <v>448</v>
      </c>
      <c r="C73" s="435">
        <v>21</v>
      </c>
      <c r="D73" s="435">
        <v>16</v>
      </c>
      <c r="E73" s="435">
        <v>20</v>
      </c>
      <c r="F73" s="434" t="s">
        <v>25</v>
      </c>
      <c r="G73" s="434" t="s">
        <v>4</v>
      </c>
      <c r="H73" s="434" t="s">
        <v>7</v>
      </c>
      <c r="I73" s="434" t="s">
        <v>1</v>
      </c>
      <c r="J73" s="434" t="s">
        <v>25</v>
      </c>
      <c r="K73" s="435">
        <v>1</v>
      </c>
      <c r="L73" s="435"/>
      <c r="M73" s="434" t="s">
        <v>25</v>
      </c>
      <c r="N73" s="436">
        <v>1.4</v>
      </c>
      <c r="O73" s="436">
        <v>1.37</v>
      </c>
      <c r="P73" s="436">
        <v>1.33</v>
      </c>
      <c r="Q73" s="436">
        <v>1.3</v>
      </c>
      <c r="R73" s="436">
        <v>1.26</v>
      </c>
      <c r="S73" s="260"/>
      <c r="T73" s="261">
        <f t="shared" si="4"/>
        <v>0</v>
      </c>
      <c r="U73" s="437">
        <v>176</v>
      </c>
      <c r="V73" s="438">
        <v>602.12110845022232</v>
      </c>
      <c r="W73" s="439">
        <v>0</v>
      </c>
      <c r="X73" s="440">
        <v>6720</v>
      </c>
      <c r="Y73" s="262">
        <f t="shared" si="5"/>
        <v>0</v>
      </c>
    </row>
    <row r="74" spans="1:25" ht="16.5">
      <c r="A74" s="445" t="s">
        <v>300</v>
      </c>
      <c r="B74" s="434" t="s">
        <v>14</v>
      </c>
      <c r="C74" s="435">
        <v>22</v>
      </c>
      <c r="D74" s="435">
        <v>10</v>
      </c>
      <c r="E74" s="435">
        <v>6</v>
      </c>
      <c r="F74" s="434" t="s">
        <v>25</v>
      </c>
      <c r="G74" s="434" t="s">
        <v>3</v>
      </c>
      <c r="H74" s="434" t="s">
        <v>7</v>
      </c>
      <c r="I74" s="434" t="s">
        <v>1</v>
      </c>
      <c r="J74" s="434" t="s">
        <v>25</v>
      </c>
      <c r="K74" s="435">
        <v>25</v>
      </c>
      <c r="L74" s="435"/>
      <c r="M74" s="434" t="s">
        <v>25</v>
      </c>
      <c r="N74" s="436">
        <v>0.92</v>
      </c>
      <c r="O74" s="436">
        <v>0.9</v>
      </c>
      <c r="P74" s="436">
        <v>0.87</v>
      </c>
      <c r="Q74" s="436">
        <v>0.85</v>
      </c>
      <c r="R74" s="436">
        <v>0.83</v>
      </c>
      <c r="S74" s="260"/>
      <c r="T74" s="261">
        <f t="shared" si="4"/>
        <v>0</v>
      </c>
      <c r="U74" s="437">
        <v>70</v>
      </c>
      <c r="V74" s="438">
        <v>596.7604433077579</v>
      </c>
      <c r="W74" s="439">
        <v>3.3</v>
      </c>
      <c r="X74" s="440">
        <v>1320</v>
      </c>
      <c r="Y74" s="262">
        <f t="shared" si="5"/>
        <v>0</v>
      </c>
    </row>
    <row r="75" spans="1:25" ht="16.5">
      <c r="A75" s="445" t="s">
        <v>300</v>
      </c>
      <c r="B75" s="434" t="s">
        <v>80</v>
      </c>
      <c r="C75" s="435">
        <v>22</v>
      </c>
      <c r="D75" s="435">
        <v>16</v>
      </c>
      <c r="E75" s="435">
        <v>2</v>
      </c>
      <c r="F75" s="434" t="s">
        <v>25</v>
      </c>
      <c r="G75" s="434" t="s">
        <v>3</v>
      </c>
      <c r="H75" s="434" t="s">
        <v>2</v>
      </c>
      <c r="I75" s="434" t="s">
        <v>1</v>
      </c>
      <c r="J75" s="434" t="s">
        <v>25</v>
      </c>
      <c r="K75" s="435">
        <v>25</v>
      </c>
      <c r="L75" s="435"/>
      <c r="M75" s="434" t="s">
        <v>25</v>
      </c>
      <c r="N75" s="436">
        <v>1.5</v>
      </c>
      <c r="O75" s="436">
        <v>1.46</v>
      </c>
      <c r="P75" s="436">
        <v>1.42</v>
      </c>
      <c r="Q75" s="436">
        <v>1.39</v>
      </c>
      <c r="R75" s="436">
        <v>1.35</v>
      </c>
      <c r="S75" s="260"/>
      <c r="T75" s="261">
        <f t="shared" si="4"/>
        <v>0</v>
      </c>
      <c r="U75" s="437">
        <v>50</v>
      </c>
      <c r="V75" s="438">
        <v>324.88628979857049</v>
      </c>
      <c r="W75" s="439">
        <v>3.3</v>
      </c>
      <c r="X75" s="440">
        <v>704</v>
      </c>
      <c r="Y75" s="262">
        <f t="shared" si="5"/>
        <v>0</v>
      </c>
    </row>
    <row r="76" spans="1:25" ht="16.5">
      <c r="A76" s="445" t="s">
        <v>25</v>
      </c>
      <c r="B76" s="434" t="s">
        <v>386</v>
      </c>
      <c r="C76" s="435">
        <v>22</v>
      </c>
      <c r="D76" s="435">
        <v>17</v>
      </c>
      <c r="E76" s="435">
        <v>20</v>
      </c>
      <c r="F76" s="434" t="s">
        <v>25</v>
      </c>
      <c r="G76" s="434" t="s">
        <v>4</v>
      </c>
      <c r="H76" s="434" t="s">
        <v>7</v>
      </c>
      <c r="I76" s="434" t="s">
        <v>1</v>
      </c>
      <c r="J76" s="434" t="s">
        <v>25</v>
      </c>
      <c r="K76" s="435">
        <v>1</v>
      </c>
      <c r="L76" s="435"/>
      <c r="M76" s="434" t="s">
        <v>25</v>
      </c>
      <c r="N76" s="436">
        <v>1.19</v>
      </c>
      <c r="O76" s="436">
        <v>1.1599999999999999</v>
      </c>
      <c r="P76" s="436">
        <v>1.1299999999999999</v>
      </c>
      <c r="Q76" s="436">
        <v>1.1000000000000001</v>
      </c>
      <c r="R76" s="436">
        <v>1.07</v>
      </c>
      <c r="S76" s="260"/>
      <c r="T76" s="261">
        <f t="shared" si="4"/>
        <v>0</v>
      </c>
      <c r="U76" s="437">
        <v>132</v>
      </c>
      <c r="V76" s="438">
        <v>418.51616994292959</v>
      </c>
      <c r="W76" s="439">
        <v>0</v>
      </c>
      <c r="X76" s="440">
        <v>7480</v>
      </c>
      <c r="Y76" s="262">
        <f t="shared" si="5"/>
        <v>0</v>
      </c>
    </row>
    <row r="77" spans="1:25" ht="16.5">
      <c r="A77" s="445" t="s">
        <v>300</v>
      </c>
      <c r="B77" s="434" t="s">
        <v>81</v>
      </c>
      <c r="C77" s="435">
        <v>22</v>
      </c>
      <c r="D77" s="435">
        <v>21</v>
      </c>
      <c r="E77" s="435">
        <v>15</v>
      </c>
      <c r="F77" s="434" t="s">
        <v>25</v>
      </c>
      <c r="G77" s="434" t="s">
        <v>3</v>
      </c>
      <c r="H77" s="434" t="s">
        <v>7</v>
      </c>
      <c r="I77" s="434" t="s">
        <v>1</v>
      </c>
      <c r="J77" s="434" t="s">
        <v>25</v>
      </c>
      <c r="K77" s="435">
        <v>25</v>
      </c>
      <c r="L77" s="435"/>
      <c r="M77" s="434" t="s">
        <v>25</v>
      </c>
      <c r="N77" s="436">
        <v>2.1800000000000002</v>
      </c>
      <c r="O77" s="436">
        <v>2.13</v>
      </c>
      <c r="P77" s="436">
        <v>2.0699999999999998</v>
      </c>
      <c r="Q77" s="436">
        <v>2.02</v>
      </c>
      <c r="R77" s="436">
        <v>1.96</v>
      </c>
      <c r="S77" s="260"/>
      <c r="T77" s="261">
        <f t="shared" si="4"/>
        <v>0</v>
      </c>
      <c r="U77" s="437">
        <v>115</v>
      </c>
      <c r="V77" s="438">
        <v>341.55034155034156</v>
      </c>
      <c r="W77" s="439">
        <v>3.3</v>
      </c>
      <c r="X77" s="440">
        <v>6930</v>
      </c>
      <c r="Y77" s="262">
        <f t="shared" si="5"/>
        <v>0</v>
      </c>
    </row>
    <row r="78" spans="1:25" ht="16.5">
      <c r="A78" s="445" t="s">
        <v>25</v>
      </c>
      <c r="B78" s="434" t="s">
        <v>449</v>
      </c>
      <c r="C78" s="435">
        <v>22</v>
      </c>
      <c r="D78" s="435">
        <v>22</v>
      </c>
      <c r="E78" s="435">
        <v>22</v>
      </c>
      <c r="F78" s="434" t="s">
        <v>25</v>
      </c>
      <c r="G78" s="434" t="s">
        <v>3</v>
      </c>
      <c r="H78" s="434" t="s">
        <v>7</v>
      </c>
      <c r="I78" s="434" t="s">
        <v>1</v>
      </c>
      <c r="J78" s="434" t="s">
        <v>25</v>
      </c>
      <c r="K78" s="435">
        <v>1</v>
      </c>
      <c r="L78" s="435"/>
      <c r="M78" s="434" t="s">
        <v>25</v>
      </c>
      <c r="N78" s="436">
        <v>2</v>
      </c>
      <c r="O78" s="436">
        <v>1.95</v>
      </c>
      <c r="P78" s="436">
        <v>1.9</v>
      </c>
      <c r="Q78" s="436">
        <v>1.85</v>
      </c>
      <c r="R78" s="436">
        <v>1.8</v>
      </c>
      <c r="S78" s="260"/>
      <c r="T78" s="261">
        <f t="shared" si="4"/>
        <v>0</v>
      </c>
      <c r="U78" s="437">
        <v>154</v>
      </c>
      <c r="V78" s="438">
        <v>367.98088410991636</v>
      </c>
      <c r="W78" s="439">
        <v>0</v>
      </c>
      <c r="X78" s="440">
        <v>10648</v>
      </c>
      <c r="Y78" s="262">
        <f t="shared" si="5"/>
        <v>0</v>
      </c>
    </row>
    <row r="79" spans="1:25" ht="16.5">
      <c r="A79" s="445" t="s">
        <v>300</v>
      </c>
      <c r="B79" s="434" t="s">
        <v>82</v>
      </c>
      <c r="C79" s="435">
        <v>23</v>
      </c>
      <c r="D79" s="435">
        <v>10</v>
      </c>
      <c r="E79" s="435">
        <v>5</v>
      </c>
      <c r="F79" s="434" t="s">
        <v>25</v>
      </c>
      <c r="G79" s="434" t="s">
        <v>3</v>
      </c>
      <c r="H79" s="434" t="s">
        <v>2</v>
      </c>
      <c r="I79" s="434" t="s">
        <v>1</v>
      </c>
      <c r="J79" s="434" t="s">
        <v>25</v>
      </c>
      <c r="K79" s="435">
        <v>25</v>
      </c>
      <c r="L79" s="435"/>
      <c r="M79" s="434" t="s">
        <v>25</v>
      </c>
      <c r="N79" s="436">
        <v>1.68</v>
      </c>
      <c r="O79" s="436">
        <v>1.64</v>
      </c>
      <c r="P79" s="436">
        <v>1.6</v>
      </c>
      <c r="Q79" s="436">
        <v>1.55</v>
      </c>
      <c r="R79" s="436">
        <v>1.51</v>
      </c>
      <c r="S79" s="260"/>
      <c r="T79" s="261">
        <f t="shared" si="4"/>
        <v>0</v>
      </c>
      <c r="U79" s="437">
        <v>55</v>
      </c>
      <c r="V79" s="438">
        <v>484.15492957746477</v>
      </c>
      <c r="W79" s="439">
        <v>3.3</v>
      </c>
      <c r="X79" s="440">
        <v>1150</v>
      </c>
      <c r="Y79" s="262">
        <f t="shared" si="5"/>
        <v>0</v>
      </c>
    </row>
    <row r="80" spans="1:25" ht="16.5">
      <c r="A80" s="445" t="s">
        <v>300</v>
      </c>
      <c r="B80" s="434" t="s">
        <v>15</v>
      </c>
      <c r="C80" s="435">
        <v>23</v>
      </c>
      <c r="D80" s="435">
        <v>17</v>
      </c>
      <c r="E80" s="435">
        <v>22</v>
      </c>
      <c r="F80" s="434" t="s">
        <v>25</v>
      </c>
      <c r="G80" s="434" t="s">
        <v>11</v>
      </c>
      <c r="H80" s="434" t="s">
        <v>7</v>
      </c>
      <c r="I80" s="434" t="s">
        <v>1</v>
      </c>
      <c r="J80" s="434" t="s">
        <v>25</v>
      </c>
      <c r="K80" s="435">
        <v>25</v>
      </c>
      <c r="L80" s="435"/>
      <c r="M80" s="434" t="s">
        <v>25</v>
      </c>
      <c r="N80" s="436">
        <v>1.44</v>
      </c>
      <c r="O80" s="436">
        <v>1.4</v>
      </c>
      <c r="P80" s="436">
        <v>1.37</v>
      </c>
      <c r="Q80" s="436">
        <v>1.33</v>
      </c>
      <c r="R80" s="436">
        <v>1.3</v>
      </c>
      <c r="S80" s="260"/>
      <c r="T80" s="261">
        <f t="shared" si="4"/>
        <v>0</v>
      </c>
      <c r="U80" s="437">
        <v>178</v>
      </c>
      <c r="V80" s="438">
        <v>523.52941176470586</v>
      </c>
      <c r="W80" s="439">
        <v>3.3</v>
      </c>
      <c r="X80" s="440">
        <v>8602</v>
      </c>
      <c r="Y80" s="262">
        <f t="shared" si="5"/>
        <v>0</v>
      </c>
    </row>
    <row r="81" spans="1:25" ht="16.5">
      <c r="A81" s="445" t="s">
        <v>300</v>
      </c>
      <c r="B81" s="434" t="s">
        <v>387</v>
      </c>
      <c r="C81" s="435">
        <v>23</v>
      </c>
      <c r="D81" s="435">
        <v>18</v>
      </c>
      <c r="E81" s="435">
        <v>18</v>
      </c>
      <c r="F81" s="434" t="s">
        <v>25</v>
      </c>
      <c r="G81" s="434" t="s">
        <v>11</v>
      </c>
      <c r="H81" s="434" t="s">
        <v>7</v>
      </c>
      <c r="I81" s="434" t="s">
        <v>1</v>
      </c>
      <c r="J81" s="434" t="s">
        <v>25</v>
      </c>
      <c r="K81" s="435">
        <v>25</v>
      </c>
      <c r="L81" s="435"/>
      <c r="M81" s="434" t="s">
        <v>25</v>
      </c>
      <c r="N81" s="436">
        <v>1.1499999999999999</v>
      </c>
      <c r="O81" s="436">
        <v>1.1200000000000001</v>
      </c>
      <c r="P81" s="436">
        <v>1.0900000000000001</v>
      </c>
      <c r="Q81" s="436">
        <v>1.06</v>
      </c>
      <c r="R81" s="436">
        <v>1.03</v>
      </c>
      <c r="S81" s="260"/>
      <c r="T81" s="261">
        <f t="shared" si="4"/>
        <v>0</v>
      </c>
      <c r="U81" s="437">
        <v>140</v>
      </c>
      <c r="V81" s="438">
        <v>434.9176762969866</v>
      </c>
      <c r="W81" s="439">
        <v>3.3</v>
      </c>
      <c r="X81" s="440">
        <v>7452</v>
      </c>
      <c r="Y81" s="262">
        <f t="shared" si="5"/>
        <v>0</v>
      </c>
    </row>
    <row r="82" spans="1:25" ht="16.5">
      <c r="A82" s="445" t="s">
        <v>300</v>
      </c>
      <c r="B82" s="434" t="s">
        <v>83</v>
      </c>
      <c r="C82" s="435">
        <v>24</v>
      </c>
      <c r="D82" s="435">
        <v>15</v>
      </c>
      <c r="E82" s="435">
        <v>3</v>
      </c>
      <c r="F82" s="434" t="s">
        <v>25</v>
      </c>
      <c r="G82" s="434" t="s">
        <v>3</v>
      </c>
      <c r="H82" s="434" t="s">
        <v>7</v>
      </c>
      <c r="I82" s="434" t="s">
        <v>1</v>
      </c>
      <c r="J82" s="434" t="s">
        <v>25</v>
      </c>
      <c r="K82" s="435">
        <v>25</v>
      </c>
      <c r="L82" s="435"/>
      <c r="M82" s="434" t="s">
        <v>25</v>
      </c>
      <c r="N82" s="436">
        <v>1.36</v>
      </c>
      <c r="O82" s="436">
        <v>1.33</v>
      </c>
      <c r="P82" s="436">
        <v>1.29</v>
      </c>
      <c r="Q82" s="436">
        <v>1.26</v>
      </c>
      <c r="R82" s="436">
        <v>1.22</v>
      </c>
      <c r="S82" s="260"/>
      <c r="T82" s="261">
        <f t="shared" si="4"/>
        <v>0</v>
      </c>
      <c r="U82" s="437">
        <v>52</v>
      </c>
      <c r="V82" s="438">
        <v>329.74001268230819</v>
      </c>
      <c r="W82" s="439">
        <v>3.3</v>
      </c>
      <c r="X82" s="440">
        <v>1080</v>
      </c>
      <c r="Y82" s="262">
        <f t="shared" si="5"/>
        <v>0</v>
      </c>
    </row>
    <row r="83" spans="1:25" ht="16.5">
      <c r="A83" s="445" t="s">
        <v>300</v>
      </c>
      <c r="B83" s="434" t="s">
        <v>84</v>
      </c>
      <c r="C83" s="435">
        <v>24</v>
      </c>
      <c r="D83" s="435">
        <v>15</v>
      </c>
      <c r="E83" s="435">
        <v>6</v>
      </c>
      <c r="F83" s="434" t="s">
        <v>25</v>
      </c>
      <c r="G83" s="434" t="s">
        <v>3</v>
      </c>
      <c r="H83" s="434" t="s">
        <v>7</v>
      </c>
      <c r="I83" s="434" t="s">
        <v>1</v>
      </c>
      <c r="J83" s="434" t="s">
        <v>25</v>
      </c>
      <c r="K83" s="435">
        <v>25</v>
      </c>
      <c r="L83" s="435"/>
      <c r="M83" s="434" t="s">
        <v>25</v>
      </c>
      <c r="N83" s="436">
        <v>1.36</v>
      </c>
      <c r="O83" s="436">
        <v>1.33</v>
      </c>
      <c r="P83" s="436">
        <v>1.29</v>
      </c>
      <c r="Q83" s="436">
        <v>1.26</v>
      </c>
      <c r="R83" s="436">
        <v>1.22</v>
      </c>
      <c r="S83" s="260"/>
      <c r="T83" s="261">
        <f t="shared" si="4"/>
        <v>0</v>
      </c>
      <c r="U83" s="437">
        <v>60</v>
      </c>
      <c r="V83" s="438">
        <v>328.58707557502737</v>
      </c>
      <c r="W83" s="439">
        <v>3.3</v>
      </c>
      <c r="X83" s="440">
        <v>2160</v>
      </c>
      <c r="Y83" s="262">
        <f t="shared" si="5"/>
        <v>0</v>
      </c>
    </row>
    <row r="84" spans="1:25" ht="16.5">
      <c r="A84" s="445" t="s">
        <v>300</v>
      </c>
      <c r="B84" s="434" t="s">
        <v>85</v>
      </c>
      <c r="C84" s="435">
        <v>24</v>
      </c>
      <c r="D84" s="435">
        <v>15</v>
      </c>
      <c r="E84" s="435">
        <v>10</v>
      </c>
      <c r="F84" s="434" t="s">
        <v>25</v>
      </c>
      <c r="G84" s="434" t="s">
        <v>3</v>
      </c>
      <c r="H84" s="434" t="s">
        <v>7</v>
      </c>
      <c r="I84" s="434" t="s">
        <v>1</v>
      </c>
      <c r="J84" s="434" t="s">
        <v>25</v>
      </c>
      <c r="K84" s="435">
        <v>25</v>
      </c>
      <c r="L84" s="435"/>
      <c r="M84" s="434" t="s">
        <v>25</v>
      </c>
      <c r="N84" s="436">
        <v>1.62</v>
      </c>
      <c r="O84" s="436">
        <v>1.58</v>
      </c>
      <c r="P84" s="436">
        <v>1.54</v>
      </c>
      <c r="Q84" s="436">
        <v>1.5</v>
      </c>
      <c r="R84" s="436">
        <v>1.46</v>
      </c>
      <c r="S84" s="260"/>
      <c r="T84" s="261">
        <f t="shared" si="4"/>
        <v>0</v>
      </c>
      <c r="U84" s="437">
        <v>70</v>
      </c>
      <c r="V84" s="438">
        <v>324.37442075996296</v>
      </c>
      <c r="W84" s="439">
        <v>3.3</v>
      </c>
      <c r="X84" s="440">
        <v>3600</v>
      </c>
      <c r="Y84" s="262">
        <f t="shared" si="5"/>
        <v>0</v>
      </c>
    </row>
    <row r="85" spans="1:25" ht="16.5">
      <c r="A85" s="445" t="s">
        <v>300</v>
      </c>
      <c r="B85" s="434" t="s">
        <v>86</v>
      </c>
      <c r="C85" s="435">
        <v>24</v>
      </c>
      <c r="D85" s="435">
        <v>17</v>
      </c>
      <c r="E85" s="435">
        <v>5</v>
      </c>
      <c r="F85" s="434" t="s">
        <v>25</v>
      </c>
      <c r="G85" s="434" t="s">
        <v>3</v>
      </c>
      <c r="H85" s="434" t="s">
        <v>2</v>
      </c>
      <c r="I85" s="434" t="s">
        <v>1</v>
      </c>
      <c r="J85" s="434" t="s">
        <v>25</v>
      </c>
      <c r="K85" s="435">
        <v>25</v>
      </c>
      <c r="L85" s="435"/>
      <c r="M85" s="434" t="s">
        <v>25</v>
      </c>
      <c r="N85" s="436">
        <v>1.98</v>
      </c>
      <c r="O85" s="436">
        <v>1.93</v>
      </c>
      <c r="P85" s="436">
        <v>1.88</v>
      </c>
      <c r="Q85" s="436">
        <v>1.83</v>
      </c>
      <c r="R85" s="436">
        <v>1.78</v>
      </c>
      <c r="S85" s="260"/>
      <c r="T85" s="261">
        <f t="shared" si="4"/>
        <v>0</v>
      </c>
      <c r="U85" s="437">
        <v>72</v>
      </c>
      <c r="V85" s="438">
        <v>359.82008995502247</v>
      </c>
      <c r="W85" s="439">
        <v>3.3</v>
      </c>
      <c r="X85" s="440">
        <v>2040</v>
      </c>
      <c r="Y85" s="262">
        <f t="shared" si="5"/>
        <v>0</v>
      </c>
    </row>
    <row r="86" spans="1:25" ht="16.5">
      <c r="A86" s="445" t="s">
        <v>300</v>
      </c>
      <c r="B86" s="434" t="s">
        <v>87</v>
      </c>
      <c r="C86" s="435">
        <v>24</v>
      </c>
      <c r="D86" s="435">
        <v>17</v>
      </c>
      <c r="E86" s="435">
        <v>10</v>
      </c>
      <c r="F86" s="434" t="s">
        <v>25</v>
      </c>
      <c r="G86" s="434" t="s">
        <v>3</v>
      </c>
      <c r="H86" s="434" t="s">
        <v>7</v>
      </c>
      <c r="I86" s="434" t="s">
        <v>1</v>
      </c>
      <c r="J86" s="434" t="s">
        <v>25</v>
      </c>
      <c r="K86" s="435">
        <v>25</v>
      </c>
      <c r="L86" s="435"/>
      <c r="M86" s="434" t="s">
        <v>25</v>
      </c>
      <c r="N86" s="436">
        <v>1.62</v>
      </c>
      <c r="O86" s="436">
        <v>1.58</v>
      </c>
      <c r="P86" s="436">
        <v>1.54</v>
      </c>
      <c r="Q86" s="436">
        <v>1.5</v>
      </c>
      <c r="R86" s="436">
        <v>1.46</v>
      </c>
      <c r="S86" s="260"/>
      <c r="T86" s="261">
        <f t="shared" si="4"/>
        <v>0</v>
      </c>
      <c r="U86" s="437">
        <v>80</v>
      </c>
      <c r="V86" s="438">
        <v>328.40722495894909</v>
      </c>
      <c r="W86" s="439">
        <v>3.3</v>
      </c>
      <c r="X86" s="440">
        <v>4080</v>
      </c>
      <c r="Y86" s="262">
        <f t="shared" si="5"/>
        <v>0</v>
      </c>
    </row>
    <row r="87" spans="1:25" ht="16.5">
      <c r="A87" s="445" t="s">
        <v>300</v>
      </c>
      <c r="B87" s="434" t="s">
        <v>320</v>
      </c>
      <c r="C87" s="435">
        <v>25</v>
      </c>
      <c r="D87" s="435">
        <v>14</v>
      </c>
      <c r="E87" s="435">
        <v>10</v>
      </c>
      <c r="F87" s="434" t="s">
        <v>25</v>
      </c>
      <c r="G87" s="434" t="s">
        <v>11</v>
      </c>
      <c r="H87" s="434" t="s">
        <v>7</v>
      </c>
      <c r="I87" s="434" t="s">
        <v>1</v>
      </c>
      <c r="J87" s="434" t="s">
        <v>25</v>
      </c>
      <c r="K87" s="435">
        <v>1</v>
      </c>
      <c r="L87" s="435"/>
      <c r="M87" s="434" t="s">
        <v>25</v>
      </c>
      <c r="N87" s="436">
        <v>0.78</v>
      </c>
      <c r="O87" s="436">
        <v>0.76</v>
      </c>
      <c r="P87" s="436">
        <v>0.74</v>
      </c>
      <c r="Q87" s="436">
        <v>0.72</v>
      </c>
      <c r="R87" s="436">
        <v>0.7</v>
      </c>
      <c r="S87" s="260"/>
      <c r="T87" s="261">
        <f t="shared" si="4"/>
        <v>0</v>
      </c>
      <c r="U87" s="437">
        <v>88</v>
      </c>
      <c r="V87" s="438">
        <v>424.09638554216872</v>
      </c>
      <c r="W87" s="439">
        <v>0</v>
      </c>
      <c r="X87" s="440">
        <v>3500</v>
      </c>
      <c r="Y87" s="262">
        <f t="shared" si="5"/>
        <v>0</v>
      </c>
    </row>
    <row r="88" spans="1:25" ht="16.5">
      <c r="A88" s="445" t="s">
        <v>25</v>
      </c>
      <c r="B88" s="434" t="s">
        <v>388</v>
      </c>
      <c r="C88" s="435">
        <v>25</v>
      </c>
      <c r="D88" s="435">
        <v>18</v>
      </c>
      <c r="E88" s="435">
        <v>16</v>
      </c>
      <c r="F88" s="434" t="s">
        <v>25</v>
      </c>
      <c r="G88" s="434" t="s">
        <v>4</v>
      </c>
      <c r="H88" s="434" t="s">
        <v>7</v>
      </c>
      <c r="I88" s="434" t="s">
        <v>1</v>
      </c>
      <c r="J88" s="434" t="s">
        <v>25</v>
      </c>
      <c r="K88" s="435">
        <v>1</v>
      </c>
      <c r="L88" s="435"/>
      <c r="M88" s="434" t="s">
        <v>25</v>
      </c>
      <c r="N88" s="436">
        <v>1.1299999999999999</v>
      </c>
      <c r="O88" s="436">
        <v>1.1000000000000001</v>
      </c>
      <c r="P88" s="436">
        <v>1.07</v>
      </c>
      <c r="Q88" s="436">
        <v>1.05</v>
      </c>
      <c r="R88" s="436">
        <v>1.02</v>
      </c>
      <c r="S88" s="260"/>
      <c r="T88" s="261">
        <f t="shared" si="4"/>
        <v>0</v>
      </c>
      <c r="U88" s="437">
        <v>126</v>
      </c>
      <c r="V88" s="438">
        <v>395.60439560439562</v>
      </c>
      <c r="W88" s="439">
        <v>0</v>
      </c>
      <c r="X88" s="440">
        <v>7200</v>
      </c>
      <c r="Y88" s="262">
        <f t="shared" si="5"/>
        <v>0</v>
      </c>
    </row>
    <row r="89" spans="1:25" ht="16.5">
      <c r="A89" s="445" t="s">
        <v>25</v>
      </c>
      <c r="B89" s="434" t="s">
        <v>389</v>
      </c>
      <c r="C89" s="435">
        <v>25</v>
      </c>
      <c r="D89" s="435">
        <v>18</v>
      </c>
      <c r="E89" s="435">
        <v>17</v>
      </c>
      <c r="F89" s="434" t="s">
        <v>25</v>
      </c>
      <c r="G89" s="434" t="s">
        <v>4</v>
      </c>
      <c r="H89" s="434" t="s">
        <v>7</v>
      </c>
      <c r="I89" s="434" t="s">
        <v>1</v>
      </c>
      <c r="J89" s="434" t="s">
        <v>25</v>
      </c>
      <c r="K89" s="435">
        <v>1</v>
      </c>
      <c r="L89" s="435"/>
      <c r="M89" s="434" t="s">
        <v>25</v>
      </c>
      <c r="N89" s="436">
        <v>0.95</v>
      </c>
      <c r="O89" s="436">
        <v>0.93</v>
      </c>
      <c r="P89" s="436">
        <v>0.9</v>
      </c>
      <c r="Q89" s="436">
        <v>0.88</v>
      </c>
      <c r="R89" s="436">
        <v>0.85</v>
      </c>
      <c r="S89" s="260"/>
      <c r="T89" s="261">
        <f t="shared" si="4"/>
        <v>0</v>
      </c>
      <c r="U89" s="437">
        <v>106</v>
      </c>
      <c r="V89" s="438">
        <v>323.56532356532358</v>
      </c>
      <c r="W89" s="439">
        <v>0</v>
      </c>
      <c r="X89" s="440">
        <v>7650</v>
      </c>
      <c r="Y89" s="262">
        <f t="shared" si="5"/>
        <v>0</v>
      </c>
    </row>
    <row r="90" spans="1:25" ht="16.5">
      <c r="A90" s="445" t="s">
        <v>300</v>
      </c>
      <c r="B90" s="434" t="s">
        <v>88</v>
      </c>
      <c r="C90" s="435">
        <v>25</v>
      </c>
      <c r="D90" s="435">
        <v>20</v>
      </c>
      <c r="E90" s="435">
        <v>8</v>
      </c>
      <c r="F90" s="434" t="s">
        <v>25</v>
      </c>
      <c r="G90" s="434" t="s">
        <v>3</v>
      </c>
      <c r="H90" s="434" t="s">
        <v>7</v>
      </c>
      <c r="I90" s="434" t="s">
        <v>1</v>
      </c>
      <c r="J90" s="434" t="s">
        <v>25</v>
      </c>
      <c r="K90" s="435">
        <v>25</v>
      </c>
      <c r="L90" s="435"/>
      <c r="M90" s="434" t="s">
        <v>25</v>
      </c>
      <c r="N90" s="436">
        <v>2.02</v>
      </c>
      <c r="O90" s="436">
        <v>1.97</v>
      </c>
      <c r="P90" s="436">
        <v>1.92</v>
      </c>
      <c r="Q90" s="436">
        <v>1.87</v>
      </c>
      <c r="R90" s="436">
        <v>1.82</v>
      </c>
      <c r="S90" s="260"/>
      <c r="T90" s="261">
        <f t="shared" si="4"/>
        <v>0</v>
      </c>
      <c r="U90" s="437">
        <v>95</v>
      </c>
      <c r="V90" s="438">
        <v>344.82758620689651</v>
      </c>
      <c r="W90" s="439">
        <v>3.3</v>
      </c>
      <c r="X90" s="440">
        <v>4000</v>
      </c>
      <c r="Y90" s="262">
        <f t="shared" si="5"/>
        <v>0</v>
      </c>
    </row>
    <row r="91" spans="1:25" ht="16.5">
      <c r="A91" s="445" t="s">
        <v>25</v>
      </c>
      <c r="B91" s="434" t="s">
        <v>390</v>
      </c>
      <c r="C91" s="435">
        <v>25</v>
      </c>
      <c r="D91" s="435">
        <v>20</v>
      </c>
      <c r="E91" s="435">
        <v>18</v>
      </c>
      <c r="F91" s="434" t="s">
        <v>25</v>
      </c>
      <c r="G91" s="434" t="s">
        <v>4</v>
      </c>
      <c r="H91" s="434" t="s">
        <v>7</v>
      </c>
      <c r="I91" s="434" t="s">
        <v>1</v>
      </c>
      <c r="J91" s="434" t="s">
        <v>25</v>
      </c>
      <c r="K91" s="435">
        <v>1</v>
      </c>
      <c r="L91" s="435"/>
      <c r="M91" s="434" t="s">
        <v>25</v>
      </c>
      <c r="N91" s="436">
        <v>1.89</v>
      </c>
      <c r="O91" s="436">
        <v>1.84</v>
      </c>
      <c r="P91" s="436">
        <v>1.8</v>
      </c>
      <c r="Q91" s="436">
        <v>1.75</v>
      </c>
      <c r="R91" s="436">
        <v>1.7</v>
      </c>
      <c r="S91" s="260"/>
      <c r="T91" s="261">
        <f t="shared" si="4"/>
        <v>0</v>
      </c>
      <c r="U91" s="437">
        <v>236</v>
      </c>
      <c r="V91" s="438">
        <v>636.9770580296896</v>
      </c>
      <c r="W91" s="439">
        <v>0</v>
      </c>
      <c r="X91" s="440">
        <v>9000</v>
      </c>
      <c r="Y91" s="262">
        <f t="shared" si="5"/>
        <v>0</v>
      </c>
    </row>
    <row r="92" spans="1:25" ht="16.5">
      <c r="A92" s="445" t="s">
        <v>300</v>
      </c>
      <c r="B92" s="434" t="s">
        <v>89</v>
      </c>
      <c r="C92" s="435">
        <v>25</v>
      </c>
      <c r="D92" s="435">
        <v>20</v>
      </c>
      <c r="E92" s="435">
        <v>20</v>
      </c>
      <c r="F92" s="434" t="s">
        <v>25</v>
      </c>
      <c r="G92" s="434" t="s">
        <v>3</v>
      </c>
      <c r="H92" s="434" t="s">
        <v>7</v>
      </c>
      <c r="I92" s="434" t="s">
        <v>1</v>
      </c>
      <c r="J92" s="434" t="s">
        <v>25</v>
      </c>
      <c r="K92" s="435">
        <v>25</v>
      </c>
      <c r="L92" s="435"/>
      <c r="M92" s="434" t="s">
        <v>25</v>
      </c>
      <c r="N92" s="436">
        <v>2.66</v>
      </c>
      <c r="O92" s="436">
        <v>2.59</v>
      </c>
      <c r="P92" s="436">
        <v>2.5299999999999998</v>
      </c>
      <c r="Q92" s="436">
        <v>2.46</v>
      </c>
      <c r="R92" s="436">
        <v>2.39</v>
      </c>
      <c r="S92" s="260"/>
      <c r="T92" s="261">
        <f t="shared" si="4"/>
        <v>0</v>
      </c>
      <c r="U92" s="437">
        <v>136</v>
      </c>
      <c r="V92" s="438">
        <v>349.1655969191271</v>
      </c>
      <c r="W92" s="439">
        <v>3.3</v>
      </c>
      <c r="X92" s="440">
        <v>10000</v>
      </c>
      <c r="Y92" s="262">
        <f t="shared" si="5"/>
        <v>0</v>
      </c>
    </row>
    <row r="93" spans="1:25" ht="16.5">
      <c r="A93" s="445" t="s">
        <v>300</v>
      </c>
      <c r="B93" s="434" t="s">
        <v>16</v>
      </c>
      <c r="C93" s="435">
        <v>25</v>
      </c>
      <c r="D93" s="435">
        <v>25</v>
      </c>
      <c r="E93" s="435">
        <v>6</v>
      </c>
      <c r="F93" s="434" t="s">
        <v>25</v>
      </c>
      <c r="G93" s="434" t="s">
        <v>3</v>
      </c>
      <c r="H93" s="434" t="s">
        <v>2</v>
      </c>
      <c r="I93" s="434" t="s">
        <v>1</v>
      </c>
      <c r="J93" s="434" t="s">
        <v>25</v>
      </c>
      <c r="K93" s="435">
        <v>25</v>
      </c>
      <c r="L93" s="435"/>
      <c r="M93" s="434" t="s">
        <v>25</v>
      </c>
      <c r="N93" s="436">
        <v>2.4</v>
      </c>
      <c r="O93" s="436">
        <v>2.34</v>
      </c>
      <c r="P93" s="436">
        <v>2.2799999999999998</v>
      </c>
      <c r="Q93" s="436">
        <v>2.2200000000000002</v>
      </c>
      <c r="R93" s="436">
        <v>2.16</v>
      </c>
      <c r="S93" s="260"/>
      <c r="T93" s="261">
        <f t="shared" si="4"/>
        <v>0</v>
      </c>
      <c r="U93" s="437">
        <v>90</v>
      </c>
      <c r="V93" s="438">
        <v>267.85714285714283</v>
      </c>
      <c r="W93" s="439">
        <v>3.3</v>
      </c>
      <c r="X93" s="440">
        <v>3750</v>
      </c>
      <c r="Y93" s="262">
        <f t="shared" si="5"/>
        <v>0</v>
      </c>
    </row>
    <row r="94" spans="1:25" ht="16.5">
      <c r="A94" s="445" t="s">
        <v>300</v>
      </c>
      <c r="B94" s="434" t="s">
        <v>90</v>
      </c>
      <c r="C94" s="435">
        <v>26</v>
      </c>
      <c r="D94" s="435">
        <v>12</v>
      </c>
      <c r="E94" s="435">
        <v>18</v>
      </c>
      <c r="F94" s="434" t="s">
        <v>25</v>
      </c>
      <c r="G94" s="434" t="s">
        <v>3</v>
      </c>
      <c r="H94" s="434" t="s">
        <v>7</v>
      </c>
      <c r="I94" s="434" t="s">
        <v>1</v>
      </c>
      <c r="J94" s="434" t="s">
        <v>25</v>
      </c>
      <c r="K94" s="435">
        <v>25</v>
      </c>
      <c r="L94" s="435"/>
      <c r="M94" s="434" t="s">
        <v>25</v>
      </c>
      <c r="N94" s="436">
        <v>1.74</v>
      </c>
      <c r="O94" s="436">
        <v>1.7</v>
      </c>
      <c r="P94" s="436">
        <v>1.65</v>
      </c>
      <c r="Q94" s="436">
        <v>1.61</v>
      </c>
      <c r="R94" s="436">
        <v>1.57</v>
      </c>
      <c r="S94" s="260"/>
      <c r="T94" s="261">
        <f t="shared" si="4"/>
        <v>0</v>
      </c>
      <c r="U94" s="437">
        <v>110</v>
      </c>
      <c r="V94" s="438">
        <v>438.07248108323381</v>
      </c>
      <c r="W94" s="439">
        <v>3.3</v>
      </c>
      <c r="X94" s="440">
        <v>5616</v>
      </c>
      <c r="Y94" s="262">
        <f t="shared" si="5"/>
        <v>0</v>
      </c>
    </row>
    <row r="95" spans="1:25" ht="16.5">
      <c r="A95" s="445" t="s">
        <v>25</v>
      </c>
      <c r="B95" s="434" t="s">
        <v>391</v>
      </c>
      <c r="C95" s="435">
        <v>26</v>
      </c>
      <c r="D95" s="435">
        <v>13</v>
      </c>
      <c r="E95" s="435">
        <v>21</v>
      </c>
      <c r="F95" s="434" t="s">
        <v>25</v>
      </c>
      <c r="G95" s="434" t="s">
        <v>4</v>
      </c>
      <c r="H95" s="434" t="s">
        <v>7</v>
      </c>
      <c r="I95" s="434" t="s">
        <v>1</v>
      </c>
      <c r="J95" s="434" t="s">
        <v>25</v>
      </c>
      <c r="K95" s="435">
        <v>1</v>
      </c>
      <c r="L95" s="435"/>
      <c r="M95" s="434" t="s">
        <v>25</v>
      </c>
      <c r="N95" s="436">
        <v>1.1000000000000001</v>
      </c>
      <c r="O95" s="436">
        <v>1.07</v>
      </c>
      <c r="P95" s="436">
        <v>1.04</v>
      </c>
      <c r="Q95" s="436">
        <v>1.02</v>
      </c>
      <c r="R95" s="436">
        <v>0.99</v>
      </c>
      <c r="S95" s="260"/>
      <c r="T95" s="261">
        <f t="shared" ref="T95:T126" si="6">(CHOOSE(((($L95&gt;=(0))+($L95&gt;=($O$6))+($L95&gt;=($P$6))+($L95&gt;=($Q$6))+($L95&gt;=($R$6)))),N95,O95,P95,Q95,R95))*L95</f>
        <v>0</v>
      </c>
      <c r="U95" s="437">
        <v>122</v>
      </c>
      <c r="V95" s="438">
        <v>419.96557659208264</v>
      </c>
      <c r="W95" s="439">
        <v>0</v>
      </c>
      <c r="X95" s="440">
        <v>7098</v>
      </c>
      <c r="Y95" s="262">
        <f t="shared" ref="Y95:Y126" si="7">(C95*D95*E95)-X95</f>
        <v>0</v>
      </c>
    </row>
    <row r="96" spans="1:25" ht="16.5">
      <c r="A96" s="445" t="s">
        <v>300</v>
      </c>
      <c r="B96" s="434" t="s">
        <v>91</v>
      </c>
      <c r="C96" s="435">
        <v>26</v>
      </c>
      <c r="D96" s="435">
        <v>14</v>
      </c>
      <c r="E96" s="435">
        <v>15</v>
      </c>
      <c r="F96" s="434" t="s">
        <v>25</v>
      </c>
      <c r="G96" s="434" t="s">
        <v>3</v>
      </c>
      <c r="H96" s="434" t="s">
        <v>7</v>
      </c>
      <c r="I96" s="434" t="s">
        <v>1</v>
      </c>
      <c r="J96" s="434" t="s">
        <v>25</v>
      </c>
      <c r="K96" s="435">
        <v>25</v>
      </c>
      <c r="L96" s="435"/>
      <c r="M96" s="434" t="s">
        <v>25</v>
      </c>
      <c r="N96" s="436">
        <v>1.74</v>
      </c>
      <c r="O96" s="436">
        <v>1.7</v>
      </c>
      <c r="P96" s="436">
        <v>1.65</v>
      </c>
      <c r="Q96" s="436">
        <v>1.61</v>
      </c>
      <c r="R96" s="436">
        <v>1.57</v>
      </c>
      <c r="S96" s="260"/>
      <c r="T96" s="261">
        <f t="shared" si="6"/>
        <v>0</v>
      </c>
      <c r="U96" s="437">
        <v>145</v>
      </c>
      <c r="V96" s="438">
        <v>568.62745098039215</v>
      </c>
      <c r="W96" s="439">
        <v>3.3</v>
      </c>
      <c r="X96" s="440">
        <v>5460</v>
      </c>
      <c r="Y96" s="262">
        <f t="shared" si="7"/>
        <v>0</v>
      </c>
    </row>
    <row r="97" spans="1:25" ht="16.5">
      <c r="A97" s="445" t="s">
        <v>25</v>
      </c>
      <c r="B97" s="434" t="s">
        <v>392</v>
      </c>
      <c r="C97" s="435">
        <v>26</v>
      </c>
      <c r="D97" s="435">
        <v>16</v>
      </c>
      <c r="E97" s="435">
        <v>5</v>
      </c>
      <c r="F97" s="434" t="s">
        <v>25</v>
      </c>
      <c r="G97" s="434" t="s">
        <v>3</v>
      </c>
      <c r="H97" s="434" t="s">
        <v>2</v>
      </c>
      <c r="I97" s="434" t="s">
        <v>1</v>
      </c>
      <c r="J97" s="434" t="s">
        <v>25</v>
      </c>
      <c r="K97" s="435">
        <v>1</v>
      </c>
      <c r="L97" s="435"/>
      <c r="M97" s="434" t="s">
        <v>25</v>
      </c>
      <c r="N97" s="436">
        <v>1.98</v>
      </c>
      <c r="O97" s="436">
        <v>1.93</v>
      </c>
      <c r="P97" s="436">
        <v>1.88</v>
      </c>
      <c r="Q97" s="436">
        <v>1.83</v>
      </c>
      <c r="R97" s="436">
        <v>1.78</v>
      </c>
      <c r="S97" s="260"/>
      <c r="T97" s="261">
        <f t="shared" si="6"/>
        <v>0</v>
      </c>
      <c r="U97" s="437">
        <v>90</v>
      </c>
      <c r="V97" s="438">
        <v>459.65270684371808</v>
      </c>
      <c r="W97" s="439">
        <v>0</v>
      </c>
      <c r="X97" s="440">
        <v>2080</v>
      </c>
      <c r="Y97" s="262">
        <f t="shared" si="7"/>
        <v>0</v>
      </c>
    </row>
    <row r="98" spans="1:25" ht="16.5">
      <c r="A98" s="445" t="s">
        <v>300</v>
      </c>
      <c r="B98" s="434" t="s">
        <v>17</v>
      </c>
      <c r="C98" s="435">
        <v>26</v>
      </c>
      <c r="D98" s="435">
        <v>17</v>
      </c>
      <c r="E98" s="435">
        <v>8</v>
      </c>
      <c r="F98" s="434" t="s">
        <v>25</v>
      </c>
      <c r="G98" s="434" t="s">
        <v>3</v>
      </c>
      <c r="H98" s="434" t="s">
        <v>2</v>
      </c>
      <c r="I98" s="434" t="s">
        <v>1</v>
      </c>
      <c r="J98" s="434" t="s">
        <v>25</v>
      </c>
      <c r="K98" s="435">
        <v>25</v>
      </c>
      <c r="L98" s="435"/>
      <c r="M98" s="434" t="s">
        <v>25</v>
      </c>
      <c r="N98" s="436">
        <v>3.36</v>
      </c>
      <c r="O98" s="436">
        <v>3.28</v>
      </c>
      <c r="P98" s="436">
        <v>3.19</v>
      </c>
      <c r="Q98" s="436">
        <v>3.11</v>
      </c>
      <c r="R98" s="436">
        <v>3.02</v>
      </c>
      <c r="S98" s="260"/>
      <c r="T98" s="261">
        <f t="shared" si="6"/>
        <v>0</v>
      </c>
      <c r="U98" s="437">
        <v>110</v>
      </c>
      <c r="V98" s="438">
        <v>464.91969568892642</v>
      </c>
      <c r="W98" s="439">
        <v>3.3</v>
      </c>
      <c r="X98" s="440">
        <v>3536</v>
      </c>
      <c r="Y98" s="262">
        <f t="shared" si="7"/>
        <v>0</v>
      </c>
    </row>
    <row r="99" spans="1:25" ht="16.5">
      <c r="A99" s="445" t="s">
        <v>300</v>
      </c>
      <c r="B99" s="434" t="s">
        <v>92</v>
      </c>
      <c r="C99" s="435">
        <v>26</v>
      </c>
      <c r="D99" s="435">
        <v>17</v>
      </c>
      <c r="E99" s="435">
        <v>8</v>
      </c>
      <c r="F99" s="434" t="s">
        <v>25</v>
      </c>
      <c r="G99" s="434" t="s">
        <v>3</v>
      </c>
      <c r="H99" s="434" t="s">
        <v>2</v>
      </c>
      <c r="I99" s="434" t="s">
        <v>1</v>
      </c>
      <c r="J99" s="434" t="s">
        <v>25</v>
      </c>
      <c r="K99" s="435">
        <v>25</v>
      </c>
      <c r="L99" s="435"/>
      <c r="M99" s="434" t="s">
        <v>25</v>
      </c>
      <c r="N99" s="436">
        <v>3.36</v>
      </c>
      <c r="O99" s="436">
        <v>3.28</v>
      </c>
      <c r="P99" s="436">
        <v>3.19</v>
      </c>
      <c r="Q99" s="436">
        <v>3.11</v>
      </c>
      <c r="R99" s="436">
        <v>3.02</v>
      </c>
      <c r="S99" s="260"/>
      <c r="T99" s="261">
        <f t="shared" si="6"/>
        <v>0</v>
      </c>
      <c r="U99" s="437">
        <v>110</v>
      </c>
      <c r="V99" s="438">
        <v>464.91969568892642</v>
      </c>
      <c r="W99" s="439">
        <v>3.3</v>
      </c>
      <c r="X99" s="440">
        <v>3536</v>
      </c>
      <c r="Y99" s="262">
        <f t="shared" si="7"/>
        <v>0</v>
      </c>
    </row>
    <row r="100" spans="1:25" ht="16.5">
      <c r="A100" s="445" t="s">
        <v>25</v>
      </c>
      <c r="B100" s="434" t="s">
        <v>393</v>
      </c>
      <c r="C100" s="435">
        <v>26</v>
      </c>
      <c r="D100" s="435">
        <v>17</v>
      </c>
      <c r="E100" s="435">
        <v>18</v>
      </c>
      <c r="F100" s="434" t="s">
        <v>25</v>
      </c>
      <c r="G100" s="434" t="s">
        <v>4</v>
      </c>
      <c r="H100" s="434" t="s">
        <v>7</v>
      </c>
      <c r="I100" s="434" t="s">
        <v>1</v>
      </c>
      <c r="J100" s="434" t="s">
        <v>25</v>
      </c>
      <c r="K100" s="435">
        <v>1</v>
      </c>
      <c r="L100" s="435"/>
      <c r="M100" s="434" t="s">
        <v>25</v>
      </c>
      <c r="N100" s="436">
        <v>1.0900000000000001</v>
      </c>
      <c r="O100" s="436">
        <v>1.06</v>
      </c>
      <c r="P100" s="436">
        <v>1.04</v>
      </c>
      <c r="Q100" s="436">
        <v>1.01</v>
      </c>
      <c r="R100" s="436">
        <v>0.98</v>
      </c>
      <c r="S100" s="260"/>
      <c r="T100" s="261">
        <f t="shared" si="6"/>
        <v>0</v>
      </c>
      <c r="U100" s="437">
        <v>136</v>
      </c>
      <c r="V100" s="438">
        <v>415.14041514041514</v>
      </c>
      <c r="W100" s="439">
        <v>0</v>
      </c>
      <c r="X100" s="440">
        <v>7956</v>
      </c>
      <c r="Y100" s="262">
        <f t="shared" si="7"/>
        <v>0</v>
      </c>
    </row>
    <row r="101" spans="1:25" ht="16.5">
      <c r="A101" s="445" t="s">
        <v>25</v>
      </c>
      <c r="B101" s="434" t="s">
        <v>450</v>
      </c>
      <c r="C101" s="435">
        <v>26</v>
      </c>
      <c r="D101" s="435">
        <v>18</v>
      </c>
      <c r="E101" s="435">
        <v>23</v>
      </c>
      <c r="F101" s="434" t="s">
        <v>25</v>
      </c>
      <c r="G101" s="434" t="s">
        <v>4</v>
      </c>
      <c r="H101" s="434" t="s">
        <v>7</v>
      </c>
      <c r="I101" s="434" t="s">
        <v>1</v>
      </c>
      <c r="J101" s="434" t="s">
        <v>25</v>
      </c>
      <c r="K101" s="435">
        <v>1</v>
      </c>
      <c r="L101" s="435"/>
      <c r="M101" s="434" t="s">
        <v>25</v>
      </c>
      <c r="N101" s="436">
        <v>1.33</v>
      </c>
      <c r="O101" s="436">
        <v>1.3</v>
      </c>
      <c r="P101" s="436">
        <v>1.26</v>
      </c>
      <c r="Q101" s="436">
        <v>1.23</v>
      </c>
      <c r="R101" s="436">
        <v>1.2</v>
      </c>
      <c r="S101" s="260"/>
      <c r="T101" s="261">
        <f t="shared" si="6"/>
        <v>0</v>
      </c>
      <c r="U101" s="437">
        <v>148</v>
      </c>
      <c r="V101" s="438">
        <v>378.90424987199179</v>
      </c>
      <c r="W101" s="439">
        <v>0</v>
      </c>
      <c r="X101" s="440">
        <v>10764</v>
      </c>
      <c r="Y101" s="262">
        <f t="shared" si="7"/>
        <v>0</v>
      </c>
    </row>
    <row r="102" spans="1:25" ht="16.5">
      <c r="A102" s="445" t="s">
        <v>25</v>
      </c>
      <c r="B102" s="434" t="s">
        <v>394</v>
      </c>
      <c r="C102" s="435">
        <v>26</v>
      </c>
      <c r="D102" s="435">
        <v>22</v>
      </c>
      <c r="E102" s="435">
        <v>14</v>
      </c>
      <c r="F102" s="434" t="s">
        <v>25</v>
      </c>
      <c r="G102" s="434" t="s">
        <v>11</v>
      </c>
      <c r="H102" s="434" t="s">
        <v>7</v>
      </c>
      <c r="I102" s="434" t="s">
        <v>1</v>
      </c>
      <c r="J102" s="434" t="s">
        <v>25</v>
      </c>
      <c r="K102" s="435">
        <v>1</v>
      </c>
      <c r="L102" s="435"/>
      <c r="M102" s="434" t="s">
        <v>25</v>
      </c>
      <c r="N102" s="436">
        <v>1.33</v>
      </c>
      <c r="O102" s="436">
        <v>1.3</v>
      </c>
      <c r="P102" s="436">
        <v>1.26</v>
      </c>
      <c r="Q102" s="436">
        <v>1.23</v>
      </c>
      <c r="R102" s="436">
        <v>1.2</v>
      </c>
      <c r="S102" s="260"/>
      <c r="T102" s="261">
        <f t="shared" si="6"/>
        <v>0</v>
      </c>
      <c r="U102" s="437">
        <v>166</v>
      </c>
      <c r="V102" s="438">
        <v>444.20658282044423</v>
      </c>
      <c r="W102" s="439">
        <v>0</v>
      </c>
      <c r="X102" s="440">
        <v>8008</v>
      </c>
      <c r="Y102" s="262">
        <f t="shared" si="7"/>
        <v>0</v>
      </c>
    </row>
    <row r="103" spans="1:25" ht="16.5">
      <c r="A103" s="445" t="s">
        <v>300</v>
      </c>
      <c r="B103" s="434" t="s">
        <v>93</v>
      </c>
      <c r="C103" s="435">
        <v>27</v>
      </c>
      <c r="D103" s="435">
        <v>16</v>
      </c>
      <c r="E103" s="435">
        <v>7</v>
      </c>
      <c r="F103" s="434" t="s">
        <v>25</v>
      </c>
      <c r="G103" s="434" t="s">
        <v>3</v>
      </c>
      <c r="H103" s="434" t="s">
        <v>2</v>
      </c>
      <c r="I103" s="434" t="s">
        <v>1</v>
      </c>
      <c r="J103" s="434" t="s">
        <v>25</v>
      </c>
      <c r="K103" s="435">
        <v>25</v>
      </c>
      <c r="L103" s="435"/>
      <c r="M103" s="434" t="s">
        <v>25</v>
      </c>
      <c r="N103" s="436">
        <v>2.76</v>
      </c>
      <c r="O103" s="436">
        <v>2.69</v>
      </c>
      <c r="P103" s="436">
        <v>2.62</v>
      </c>
      <c r="Q103" s="436">
        <v>2.5499999999999998</v>
      </c>
      <c r="R103" s="436">
        <v>2.48</v>
      </c>
      <c r="S103" s="260"/>
      <c r="T103" s="261">
        <f t="shared" si="6"/>
        <v>0</v>
      </c>
      <c r="U103" s="437">
        <v>115</v>
      </c>
      <c r="V103" s="438">
        <v>526.55677655677653</v>
      </c>
      <c r="W103" s="439">
        <v>3.3</v>
      </c>
      <c r="X103" s="440">
        <v>3024</v>
      </c>
      <c r="Y103" s="262">
        <f t="shared" si="7"/>
        <v>0</v>
      </c>
    </row>
    <row r="104" spans="1:25" ht="16.5">
      <c r="A104" s="445" t="s">
        <v>25</v>
      </c>
      <c r="B104" s="434" t="s">
        <v>395</v>
      </c>
      <c r="C104" s="435">
        <v>27</v>
      </c>
      <c r="D104" s="435">
        <v>16</v>
      </c>
      <c r="E104" s="435">
        <v>26</v>
      </c>
      <c r="F104" s="434" t="s">
        <v>25</v>
      </c>
      <c r="G104" s="434" t="s">
        <v>11</v>
      </c>
      <c r="H104" s="434" t="s">
        <v>7</v>
      </c>
      <c r="I104" s="434" t="s">
        <v>1</v>
      </c>
      <c r="J104" s="434" t="s">
        <v>25</v>
      </c>
      <c r="K104" s="435">
        <v>1</v>
      </c>
      <c r="L104" s="435"/>
      <c r="M104" s="434" t="s">
        <v>25</v>
      </c>
      <c r="N104" s="436">
        <v>1.62</v>
      </c>
      <c r="O104" s="436">
        <v>1.58</v>
      </c>
      <c r="P104" s="436">
        <v>1.54</v>
      </c>
      <c r="Q104" s="436">
        <v>1.5</v>
      </c>
      <c r="R104" s="436">
        <v>1.46</v>
      </c>
      <c r="S104" s="260"/>
      <c r="T104" s="261">
        <f t="shared" si="6"/>
        <v>0</v>
      </c>
      <c r="U104" s="437">
        <v>202</v>
      </c>
      <c r="V104" s="438">
        <v>516.22795808842318</v>
      </c>
      <c r="W104" s="439">
        <v>0</v>
      </c>
      <c r="X104" s="440">
        <v>11232</v>
      </c>
      <c r="Y104" s="262">
        <f t="shared" si="7"/>
        <v>0</v>
      </c>
    </row>
    <row r="105" spans="1:25" ht="16.5">
      <c r="A105" s="445" t="s">
        <v>300</v>
      </c>
      <c r="B105" s="434" t="s">
        <v>94</v>
      </c>
      <c r="C105" s="435">
        <v>27</v>
      </c>
      <c r="D105" s="435">
        <v>18</v>
      </c>
      <c r="E105" s="435">
        <v>9</v>
      </c>
      <c r="F105" s="434" t="s">
        <v>25</v>
      </c>
      <c r="G105" s="434" t="s">
        <v>3</v>
      </c>
      <c r="H105" s="434" t="s">
        <v>7</v>
      </c>
      <c r="I105" s="434" t="s">
        <v>1</v>
      </c>
      <c r="J105" s="434" t="s">
        <v>25</v>
      </c>
      <c r="K105" s="435">
        <v>25</v>
      </c>
      <c r="L105" s="435"/>
      <c r="M105" s="434" t="s">
        <v>25</v>
      </c>
      <c r="N105" s="436">
        <v>1.86</v>
      </c>
      <c r="O105" s="436">
        <v>1.81</v>
      </c>
      <c r="P105" s="436">
        <v>1.77</v>
      </c>
      <c r="Q105" s="436">
        <v>1.72</v>
      </c>
      <c r="R105" s="436">
        <v>1.67</v>
      </c>
      <c r="S105" s="260"/>
      <c r="T105" s="261">
        <f t="shared" si="6"/>
        <v>0</v>
      </c>
      <c r="U105" s="437">
        <v>100</v>
      </c>
      <c r="V105" s="438">
        <v>375.93984962406012</v>
      </c>
      <c r="W105" s="439">
        <v>3.3</v>
      </c>
      <c r="X105" s="440">
        <v>4374</v>
      </c>
      <c r="Y105" s="262">
        <f t="shared" si="7"/>
        <v>0</v>
      </c>
    </row>
    <row r="106" spans="1:25" ht="16.5">
      <c r="A106" s="445" t="s">
        <v>300</v>
      </c>
      <c r="B106" s="434" t="s">
        <v>18</v>
      </c>
      <c r="C106" s="435">
        <v>28</v>
      </c>
      <c r="D106" s="435">
        <v>17</v>
      </c>
      <c r="E106" s="435">
        <v>4</v>
      </c>
      <c r="F106" s="434" t="s">
        <v>25</v>
      </c>
      <c r="G106" s="434" t="s">
        <v>3</v>
      </c>
      <c r="H106" s="434" t="s">
        <v>2</v>
      </c>
      <c r="I106" s="434" t="s">
        <v>1</v>
      </c>
      <c r="J106" s="434" t="s">
        <v>25</v>
      </c>
      <c r="K106" s="435">
        <v>25</v>
      </c>
      <c r="L106" s="435"/>
      <c r="M106" s="434" t="s">
        <v>25</v>
      </c>
      <c r="N106" s="436">
        <v>1.92</v>
      </c>
      <c r="O106" s="436">
        <v>1.87</v>
      </c>
      <c r="P106" s="436">
        <v>1.82</v>
      </c>
      <c r="Q106" s="436">
        <v>1.78</v>
      </c>
      <c r="R106" s="436">
        <v>1.73</v>
      </c>
      <c r="S106" s="260"/>
      <c r="T106" s="261">
        <f t="shared" si="6"/>
        <v>0</v>
      </c>
      <c r="U106" s="437">
        <v>60</v>
      </c>
      <c r="V106" s="438">
        <v>287.08133971291869</v>
      </c>
      <c r="W106" s="439">
        <v>3.3</v>
      </c>
      <c r="X106" s="440">
        <v>1904</v>
      </c>
      <c r="Y106" s="262">
        <f t="shared" si="7"/>
        <v>0</v>
      </c>
    </row>
    <row r="107" spans="1:25" ht="16.5">
      <c r="A107" s="445" t="s">
        <v>300</v>
      </c>
      <c r="B107" s="434" t="s">
        <v>396</v>
      </c>
      <c r="C107" s="435">
        <v>28</v>
      </c>
      <c r="D107" s="435">
        <v>17</v>
      </c>
      <c r="E107" s="435">
        <v>23</v>
      </c>
      <c r="F107" s="434" t="s">
        <v>25</v>
      </c>
      <c r="G107" s="434" t="s">
        <v>11</v>
      </c>
      <c r="H107" s="434" t="s">
        <v>7</v>
      </c>
      <c r="I107" s="434" t="s">
        <v>1</v>
      </c>
      <c r="J107" s="434" t="s">
        <v>25</v>
      </c>
      <c r="K107" s="435">
        <v>25</v>
      </c>
      <c r="L107" s="435"/>
      <c r="M107" s="434" t="s">
        <v>25</v>
      </c>
      <c r="N107" s="436">
        <v>1.5</v>
      </c>
      <c r="O107" s="436">
        <v>1.46</v>
      </c>
      <c r="P107" s="436">
        <v>1.42</v>
      </c>
      <c r="Q107" s="436">
        <v>1.39</v>
      </c>
      <c r="R107" s="436">
        <v>1.35</v>
      </c>
      <c r="S107" s="260"/>
      <c r="T107" s="261">
        <f t="shared" si="6"/>
        <v>0</v>
      </c>
      <c r="U107" s="437">
        <v>186</v>
      </c>
      <c r="V107" s="438">
        <v>477.53530166880614</v>
      </c>
      <c r="W107" s="439">
        <v>3.3</v>
      </c>
      <c r="X107" s="440">
        <v>10948</v>
      </c>
      <c r="Y107" s="262">
        <f t="shared" si="7"/>
        <v>0</v>
      </c>
    </row>
    <row r="108" spans="1:25" ht="16.5">
      <c r="A108" s="445" t="s">
        <v>25</v>
      </c>
      <c r="B108" s="434" t="s">
        <v>397</v>
      </c>
      <c r="C108" s="435">
        <v>28</v>
      </c>
      <c r="D108" s="435">
        <v>19</v>
      </c>
      <c r="E108" s="435">
        <v>8</v>
      </c>
      <c r="F108" s="434" t="s">
        <v>25</v>
      </c>
      <c r="G108" s="434" t="s">
        <v>4</v>
      </c>
      <c r="H108" s="434" t="s">
        <v>7</v>
      </c>
      <c r="I108" s="434" t="s">
        <v>1</v>
      </c>
      <c r="J108" s="434" t="s">
        <v>25</v>
      </c>
      <c r="K108" s="435">
        <v>1</v>
      </c>
      <c r="L108" s="435"/>
      <c r="M108" s="434" t="s">
        <v>25</v>
      </c>
      <c r="N108" s="436">
        <v>0.81</v>
      </c>
      <c r="O108" s="436">
        <v>0.79</v>
      </c>
      <c r="P108" s="436">
        <v>0.77</v>
      </c>
      <c r="Q108" s="436">
        <v>0.75</v>
      </c>
      <c r="R108" s="436">
        <v>0.73</v>
      </c>
      <c r="S108" s="260"/>
      <c r="T108" s="261">
        <f t="shared" si="6"/>
        <v>0</v>
      </c>
      <c r="U108" s="437">
        <v>100</v>
      </c>
      <c r="V108" s="438">
        <v>360.75036075036076</v>
      </c>
      <c r="W108" s="439">
        <v>0</v>
      </c>
      <c r="X108" s="440">
        <v>4256</v>
      </c>
      <c r="Y108" s="262">
        <f t="shared" si="7"/>
        <v>0</v>
      </c>
    </row>
    <row r="109" spans="1:25" ht="16.5">
      <c r="A109" s="445" t="s">
        <v>25</v>
      </c>
      <c r="B109" s="434" t="s">
        <v>398</v>
      </c>
      <c r="C109" s="435">
        <v>28</v>
      </c>
      <c r="D109" s="435">
        <v>19</v>
      </c>
      <c r="E109" s="435">
        <v>9</v>
      </c>
      <c r="F109" s="434" t="s">
        <v>25</v>
      </c>
      <c r="G109" s="434" t="s">
        <v>3</v>
      </c>
      <c r="H109" s="434" t="s">
        <v>2</v>
      </c>
      <c r="I109" s="434" t="s">
        <v>1</v>
      </c>
      <c r="J109" s="434" t="s">
        <v>25</v>
      </c>
      <c r="K109" s="435">
        <v>1</v>
      </c>
      <c r="L109" s="435"/>
      <c r="M109" s="434" t="s">
        <v>25</v>
      </c>
      <c r="N109" s="436">
        <v>3.02</v>
      </c>
      <c r="O109" s="436">
        <v>2.94</v>
      </c>
      <c r="P109" s="436">
        <v>2.87</v>
      </c>
      <c r="Q109" s="436">
        <v>2.79</v>
      </c>
      <c r="R109" s="436">
        <v>2.72</v>
      </c>
      <c r="S109" s="260"/>
      <c r="T109" s="261">
        <f t="shared" si="6"/>
        <v>0</v>
      </c>
      <c r="U109" s="437">
        <v>125</v>
      </c>
      <c r="V109" s="438">
        <v>435.38836642284917</v>
      </c>
      <c r="W109" s="439">
        <v>0</v>
      </c>
      <c r="X109" s="440">
        <v>4788</v>
      </c>
      <c r="Y109" s="262">
        <f t="shared" si="7"/>
        <v>0</v>
      </c>
    </row>
    <row r="110" spans="1:25" ht="16.5">
      <c r="A110" s="445" t="s">
        <v>25</v>
      </c>
      <c r="B110" s="434" t="s">
        <v>451</v>
      </c>
      <c r="C110" s="435">
        <v>28</v>
      </c>
      <c r="D110" s="435">
        <v>19</v>
      </c>
      <c r="E110" s="435">
        <v>10</v>
      </c>
      <c r="F110" s="434" t="s">
        <v>25</v>
      </c>
      <c r="G110" s="434" t="s">
        <v>4</v>
      </c>
      <c r="H110" s="434" t="s">
        <v>7</v>
      </c>
      <c r="I110" s="434" t="s">
        <v>10</v>
      </c>
      <c r="J110" s="434" t="s">
        <v>25</v>
      </c>
      <c r="K110" s="435">
        <v>1</v>
      </c>
      <c r="L110" s="435"/>
      <c r="M110" s="434" t="s">
        <v>25</v>
      </c>
      <c r="N110" s="436">
        <v>1.73</v>
      </c>
      <c r="O110" s="436">
        <v>1.69</v>
      </c>
      <c r="P110" s="436">
        <v>1.64</v>
      </c>
      <c r="Q110" s="436">
        <v>1.6</v>
      </c>
      <c r="R110" s="436">
        <v>1.56</v>
      </c>
      <c r="S110" s="260"/>
      <c r="T110" s="261">
        <f t="shared" si="6"/>
        <v>0</v>
      </c>
      <c r="U110" s="437">
        <v>192</v>
      </c>
      <c r="V110" s="438">
        <v>646.46464646464653</v>
      </c>
      <c r="W110" s="439">
        <v>0</v>
      </c>
      <c r="X110" s="440">
        <v>5320</v>
      </c>
      <c r="Y110" s="262">
        <f t="shared" si="7"/>
        <v>0</v>
      </c>
    </row>
    <row r="111" spans="1:25" ht="16.5">
      <c r="A111" s="445" t="s">
        <v>25</v>
      </c>
      <c r="B111" s="434" t="s">
        <v>452</v>
      </c>
      <c r="C111" s="435">
        <v>28</v>
      </c>
      <c r="D111" s="435">
        <v>19</v>
      </c>
      <c r="E111" s="435">
        <v>25</v>
      </c>
      <c r="F111" s="434" t="s">
        <v>25</v>
      </c>
      <c r="G111" s="434" t="s">
        <v>4</v>
      </c>
      <c r="H111" s="434" t="s">
        <v>7</v>
      </c>
      <c r="I111" s="434" t="s">
        <v>1</v>
      </c>
      <c r="J111" s="434" t="s">
        <v>25</v>
      </c>
      <c r="K111" s="435">
        <v>1</v>
      </c>
      <c r="L111" s="435"/>
      <c r="M111" s="434" t="s">
        <v>25</v>
      </c>
      <c r="N111" s="436">
        <v>1.42</v>
      </c>
      <c r="O111" s="436">
        <v>1.38</v>
      </c>
      <c r="P111" s="436">
        <v>1.35</v>
      </c>
      <c r="Q111" s="436">
        <v>1.31</v>
      </c>
      <c r="R111" s="436">
        <v>1.28</v>
      </c>
      <c r="S111" s="260"/>
      <c r="T111" s="261">
        <f t="shared" si="6"/>
        <v>0</v>
      </c>
      <c r="U111" s="437">
        <v>158</v>
      </c>
      <c r="V111" s="438">
        <v>354.65768799102131</v>
      </c>
      <c r="W111" s="439">
        <v>0</v>
      </c>
      <c r="X111" s="440">
        <v>13300</v>
      </c>
      <c r="Y111" s="262">
        <f t="shared" si="7"/>
        <v>0</v>
      </c>
    </row>
    <row r="112" spans="1:25" ht="16.5">
      <c r="A112" s="445" t="s">
        <v>300</v>
      </c>
      <c r="B112" s="434" t="s">
        <v>95</v>
      </c>
      <c r="C112" s="435">
        <v>29</v>
      </c>
      <c r="D112" s="435">
        <v>23</v>
      </c>
      <c r="E112" s="435">
        <v>7</v>
      </c>
      <c r="F112" s="434" t="s">
        <v>25</v>
      </c>
      <c r="G112" s="434" t="s">
        <v>3</v>
      </c>
      <c r="H112" s="434" t="s">
        <v>2</v>
      </c>
      <c r="I112" s="434" t="s">
        <v>1</v>
      </c>
      <c r="J112" s="434" t="s">
        <v>25</v>
      </c>
      <c r="K112" s="435">
        <v>25</v>
      </c>
      <c r="L112" s="435"/>
      <c r="M112" s="434" t="s">
        <v>25</v>
      </c>
      <c r="N112" s="436">
        <v>4.4000000000000004</v>
      </c>
      <c r="O112" s="436">
        <v>4.29</v>
      </c>
      <c r="P112" s="436">
        <v>4.18</v>
      </c>
      <c r="Q112" s="436">
        <v>4.07</v>
      </c>
      <c r="R112" s="436">
        <v>3.96</v>
      </c>
      <c r="S112" s="260"/>
      <c r="T112" s="261">
        <f t="shared" si="6"/>
        <v>0</v>
      </c>
      <c r="U112" s="437">
        <v>116</v>
      </c>
      <c r="V112" s="438">
        <v>343.29683338265761</v>
      </c>
      <c r="W112" s="439">
        <v>3.3</v>
      </c>
      <c r="X112" s="440">
        <v>4669</v>
      </c>
      <c r="Y112" s="262">
        <f t="shared" si="7"/>
        <v>0</v>
      </c>
    </row>
    <row r="113" spans="1:25" ht="16.5">
      <c r="A113" s="445" t="s">
        <v>25</v>
      </c>
      <c r="B113" s="434" t="s">
        <v>338</v>
      </c>
      <c r="C113" s="435">
        <v>29</v>
      </c>
      <c r="D113" s="435">
        <v>29</v>
      </c>
      <c r="E113" s="435">
        <v>39</v>
      </c>
      <c r="F113" s="434" t="s">
        <v>25</v>
      </c>
      <c r="G113" s="434" t="s">
        <v>11</v>
      </c>
      <c r="H113" s="434" t="s">
        <v>7</v>
      </c>
      <c r="I113" s="434" t="s">
        <v>10</v>
      </c>
      <c r="J113" s="434" t="s">
        <v>25</v>
      </c>
      <c r="K113" s="435">
        <v>1</v>
      </c>
      <c r="L113" s="435"/>
      <c r="M113" s="434" t="s">
        <v>25</v>
      </c>
      <c r="N113" s="436">
        <v>11.95</v>
      </c>
      <c r="O113" s="436">
        <v>11.65</v>
      </c>
      <c r="P113" s="436">
        <v>11.35</v>
      </c>
      <c r="Q113" s="436">
        <v>11.05</v>
      </c>
      <c r="R113" s="436">
        <v>10.75</v>
      </c>
      <c r="S113" s="260"/>
      <c r="T113" s="261">
        <f t="shared" si="6"/>
        <v>0</v>
      </c>
      <c r="U113" s="437">
        <v>1180</v>
      </c>
      <c r="V113" s="438">
        <v>1413.3429153191998</v>
      </c>
      <c r="W113" s="439">
        <v>0</v>
      </c>
      <c r="X113" s="440">
        <v>32799</v>
      </c>
      <c r="Y113" s="262">
        <f t="shared" si="7"/>
        <v>0</v>
      </c>
    </row>
    <row r="114" spans="1:25" ht="16.5">
      <c r="A114" s="445" t="s">
        <v>25</v>
      </c>
      <c r="B114" s="434" t="s">
        <v>339</v>
      </c>
      <c r="C114" s="435">
        <v>29</v>
      </c>
      <c r="D114" s="435">
        <v>29</v>
      </c>
      <c r="E114" s="435">
        <v>39</v>
      </c>
      <c r="F114" s="434" t="s">
        <v>25</v>
      </c>
      <c r="G114" s="434" t="s">
        <v>11</v>
      </c>
      <c r="H114" s="434" t="s">
        <v>7</v>
      </c>
      <c r="I114" s="434" t="s">
        <v>10</v>
      </c>
      <c r="J114" s="434" t="s">
        <v>25</v>
      </c>
      <c r="K114" s="435">
        <v>1</v>
      </c>
      <c r="L114" s="435"/>
      <c r="M114" s="434" t="s">
        <v>25</v>
      </c>
      <c r="N114" s="436">
        <v>8.11</v>
      </c>
      <c r="O114" s="436">
        <v>7.91</v>
      </c>
      <c r="P114" s="436">
        <v>7.7</v>
      </c>
      <c r="Q114" s="436">
        <v>7.5</v>
      </c>
      <c r="R114" s="436">
        <v>7.3</v>
      </c>
      <c r="S114" s="260"/>
      <c r="T114" s="261">
        <f t="shared" si="6"/>
        <v>0</v>
      </c>
      <c r="U114" s="437">
        <v>1014</v>
      </c>
      <c r="V114" s="438">
        <v>1214.516708587855</v>
      </c>
      <c r="W114" s="439">
        <v>0</v>
      </c>
      <c r="X114" s="440">
        <v>32799</v>
      </c>
      <c r="Y114" s="262">
        <f t="shared" si="7"/>
        <v>0</v>
      </c>
    </row>
    <row r="115" spans="1:25" ht="16.5">
      <c r="A115" s="445" t="s">
        <v>25</v>
      </c>
      <c r="B115" s="434" t="s">
        <v>399</v>
      </c>
      <c r="C115" s="435">
        <v>29</v>
      </c>
      <c r="D115" s="435">
        <v>29</v>
      </c>
      <c r="E115" s="435">
        <v>39</v>
      </c>
      <c r="F115" s="434" t="s">
        <v>25</v>
      </c>
      <c r="G115" s="434" t="s">
        <v>3</v>
      </c>
      <c r="H115" s="434" t="s">
        <v>1</v>
      </c>
      <c r="I115" s="434" t="s">
        <v>1</v>
      </c>
      <c r="J115" s="434" t="s">
        <v>25</v>
      </c>
      <c r="K115" s="435">
        <v>1</v>
      </c>
      <c r="L115" s="435"/>
      <c r="M115" s="434" t="s">
        <v>25</v>
      </c>
      <c r="N115" s="436">
        <v>3.84</v>
      </c>
      <c r="O115" s="436">
        <v>3.74</v>
      </c>
      <c r="P115" s="436">
        <v>3.65</v>
      </c>
      <c r="Q115" s="436">
        <v>3.55</v>
      </c>
      <c r="R115" s="436">
        <v>3.46</v>
      </c>
      <c r="S115" s="260"/>
      <c r="T115" s="261">
        <f t="shared" si="6"/>
        <v>0</v>
      </c>
      <c r="U115" s="437">
        <v>160</v>
      </c>
      <c r="V115" s="438">
        <v>191.63971733141693</v>
      </c>
      <c r="W115" s="439">
        <v>0</v>
      </c>
      <c r="X115" s="440">
        <v>32799</v>
      </c>
      <c r="Y115" s="262">
        <f t="shared" si="7"/>
        <v>0</v>
      </c>
    </row>
    <row r="116" spans="1:25" ht="16.5">
      <c r="A116" s="445" t="s">
        <v>300</v>
      </c>
      <c r="B116" s="434" t="s">
        <v>96</v>
      </c>
      <c r="C116" s="435">
        <v>30</v>
      </c>
      <c r="D116" s="435">
        <v>11</v>
      </c>
      <c r="E116" s="435">
        <v>4</v>
      </c>
      <c r="F116" s="434" t="s">
        <v>25</v>
      </c>
      <c r="G116" s="434" t="s">
        <v>3</v>
      </c>
      <c r="H116" s="434" t="s">
        <v>7</v>
      </c>
      <c r="I116" s="434" t="s">
        <v>1</v>
      </c>
      <c r="J116" s="434" t="s">
        <v>25</v>
      </c>
      <c r="K116" s="435">
        <v>25</v>
      </c>
      <c r="L116" s="435"/>
      <c r="M116" s="434" t="s">
        <v>25</v>
      </c>
      <c r="N116" s="436">
        <v>1.1200000000000001</v>
      </c>
      <c r="O116" s="436">
        <v>1.0900000000000001</v>
      </c>
      <c r="P116" s="436">
        <v>1.06</v>
      </c>
      <c r="Q116" s="436">
        <v>1.04</v>
      </c>
      <c r="R116" s="436">
        <v>1.01</v>
      </c>
      <c r="S116" s="263"/>
      <c r="T116" s="264">
        <f t="shared" si="6"/>
        <v>0</v>
      </c>
      <c r="U116" s="437">
        <v>55</v>
      </c>
      <c r="V116" s="438">
        <v>395.11494252873564</v>
      </c>
      <c r="W116" s="439">
        <v>3.3</v>
      </c>
      <c r="X116" s="440">
        <v>1320</v>
      </c>
      <c r="Y116" s="262">
        <f t="shared" si="7"/>
        <v>0</v>
      </c>
    </row>
    <row r="117" spans="1:25" ht="16.5">
      <c r="A117" s="445" t="s">
        <v>300</v>
      </c>
      <c r="B117" s="434" t="s">
        <v>97</v>
      </c>
      <c r="C117" s="435">
        <v>30</v>
      </c>
      <c r="D117" s="435">
        <v>11</v>
      </c>
      <c r="E117" s="435">
        <v>10</v>
      </c>
      <c r="F117" s="434" t="s">
        <v>25</v>
      </c>
      <c r="G117" s="434" t="s">
        <v>3</v>
      </c>
      <c r="H117" s="434" t="s">
        <v>7</v>
      </c>
      <c r="I117" s="434" t="s">
        <v>1</v>
      </c>
      <c r="J117" s="434" t="s">
        <v>25</v>
      </c>
      <c r="K117" s="435">
        <v>25</v>
      </c>
      <c r="L117" s="435"/>
      <c r="M117" s="434" t="s">
        <v>25</v>
      </c>
      <c r="N117" s="436">
        <v>1.4</v>
      </c>
      <c r="O117" s="436">
        <v>1.37</v>
      </c>
      <c r="P117" s="436">
        <v>1.33</v>
      </c>
      <c r="Q117" s="436">
        <v>1.3</v>
      </c>
      <c r="R117" s="436">
        <v>1.26</v>
      </c>
      <c r="S117" s="263"/>
      <c r="T117" s="264">
        <f t="shared" si="6"/>
        <v>0</v>
      </c>
      <c r="U117" s="437">
        <v>65</v>
      </c>
      <c r="V117" s="438">
        <v>339.60292580982241</v>
      </c>
      <c r="W117" s="439">
        <v>3.3</v>
      </c>
      <c r="X117" s="440">
        <v>3300</v>
      </c>
      <c r="Y117" s="262">
        <f t="shared" si="7"/>
        <v>0</v>
      </c>
    </row>
    <row r="118" spans="1:25" ht="16.5">
      <c r="A118" s="445" t="s">
        <v>300</v>
      </c>
      <c r="B118" s="434" t="s">
        <v>98</v>
      </c>
      <c r="C118" s="435">
        <v>30</v>
      </c>
      <c r="D118" s="435">
        <v>20</v>
      </c>
      <c r="E118" s="435">
        <v>11</v>
      </c>
      <c r="F118" s="434" t="s">
        <v>25</v>
      </c>
      <c r="G118" s="434" t="s">
        <v>3</v>
      </c>
      <c r="H118" s="434" t="s">
        <v>2</v>
      </c>
      <c r="I118" s="434" t="s">
        <v>1</v>
      </c>
      <c r="J118" s="434" t="s">
        <v>25</v>
      </c>
      <c r="K118" s="435">
        <v>1</v>
      </c>
      <c r="L118" s="435"/>
      <c r="M118" s="434" t="s">
        <v>25</v>
      </c>
      <c r="N118" s="436">
        <v>5.08</v>
      </c>
      <c r="O118" s="436">
        <v>4.95</v>
      </c>
      <c r="P118" s="436">
        <v>4.83</v>
      </c>
      <c r="Q118" s="436">
        <v>4.7</v>
      </c>
      <c r="R118" s="436">
        <v>4.57</v>
      </c>
      <c r="S118" s="263"/>
      <c r="T118" s="264">
        <f t="shared" si="6"/>
        <v>0</v>
      </c>
      <c r="U118" s="437">
        <v>165</v>
      </c>
      <c r="V118" s="438">
        <v>491.07142857142856</v>
      </c>
      <c r="W118" s="439">
        <v>3.3</v>
      </c>
      <c r="X118" s="440">
        <v>6600</v>
      </c>
      <c r="Y118" s="262">
        <f t="shared" si="7"/>
        <v>0</v>
      </c>
    </row>
    <row r="119" spans="1:25" ht="16.5">
      <c r="A119" s="445" t="s">
        <v>300</v>
      </c>
      <c r="B119" s="434" t="s">
        <v>99</v>
      </c>
      <c r="C119" s="435">
        <v>30</v>
      </c>
      <c r="D119" s="435">
        <v>20</v>
      </c>
      <c r="E119" s="435">
        <v>17</v>
      </c>
      <c r="F119" s="434" t="s">
        <v>25</v>
      </c>
      <c r="G119" s="434" t="s">
        <v>11</v>
      </c>
      <c r="H119" s="434" t="s">
        <v>7</v>
      </c>
      <c r="I119" s="434" t="s">
        <v>10</v>
      </c>
      <c r="J119" s="434" t="s">
        <v>25</v>
      </c>
      <c r="K119" s="435">
        <v>1</v>
      </c>
      <c r="L119" s="435"/>
      <c r="M119" s="434" t="s">
        <v>25</v>
      </c>
      <c r="N119" s="436">
        <v>2.48</v>
      </c>
      <c r="O119" s="436">
        <v>2.42</v>
      </c>
      <c r="P119" s="436">
        <v>2.36</v>
      </c>
      <c r="Q119" s="436">
        <v>2.29</v>
      </c>
      <c r="R119" s="436">
        <v>2.23</v>
      </c>
      <c r="S119" s="263"/>
      <c r="T119" s="264">
        <f t="shared" si="6"/>
        <v>0</v>
      </c>
      <c r="U119" s="437">
        <v>274</v>
      </c>
      <c r="V119" s="438">
        <v>686.71679197994979</v>
      </c>
      <c r="W119" s="439">
        <v>7</v>
      </c>
      <c r="X119" s="440">
        <v>10200</v>
      </c>
      <c r="Y119" s="262">
        <f t="shared" si="7"/>
        <v>0</v>
      </c>
    </row>
    <row r="120" spans="1:25" ht="16.5">
      <c r="A120" s="445" t="s">
        <v>300</v>
      </c>
      <c r="B120" s="434" t="s">
        <v>100</v>
      </c>
      <c r="C120" s="435">
        <v>30</v>
      </c>
      <c r="D120" s="435">
        <v>20</v>
      </c>
      <c r="E120" s="435">
        <v>20</v>
      </c>
      <c r="F120" s="434" t="s">
        <v>25</v>
      </c>
      <c r="G120" s="434" t="s">
        <v>3</v>
      </c>
      <c r="H120" s="434" t="s">
        <v>7</v>
      </c>
      <c r="I120" s="434" t="s">
        <v>1</v>
      </c>
      <c r="J120" s="434" t="s">
        <v>25</v>
      </c>
      <c r="K120" s="435">
        <v>1</v>
      </c>
      <c r="L120" s="435"/>
      <c r="M120" s="434" t="s">
        <v>25</v>
      </c>
      <c r="N120" s="436">
        <v>3</v>
      </c>
      <c r="O120" s="436">
        <v>2.93</v>
      </c>
      <c r="P120" s="436">
        <v>2.85</v>
      </c>
      <c r="Q120" s="436">
        <v>2.78</v>
      </c>
      <c r="R120" s="436">
        <v>2.7</v>
      </c>
      <c r="S120" s="263"/>
      <c r="T120" s="264">
        <f t="shared" si="6"/>
        <v>0</v>
      </c>
      <c r="U120" s="437">
        <v>160</v>
      </c>
      <c r="V120" s="438">
        <v>371.66085946573753</v>
      </c>
      <c r="W120" s="439">
        <v>3.3</v>
      </c>
      <c r="X120" s="440">
        <v>12000</v>
      </c>
      <c r="Y120" s="262">
        <f t="shared" si="7"/>
        <v>0</v>
      </c>
    </row>
    <row r="121" spans="1:25" ht="16.5">
      <c r="A121" s="445" t="s">
        <v>25</v>
      </c>
      <c r="B121" s="434" t="s">
        <v>453</v>
      </c>
      <c r="C121" s="435">
        <v>30</v>
      </c>
      <c r="D121" s="435">
        <v>21</v>
      </c>
      <c r="E121" s="435">
        <v>16</v>
      </c>
      <c r="F121" s="434" t="s">
        <v>25</v>
      </c>
      <c r="G121" s="434" t="s">
        <v>4</v>
      </c>
      <c r="H121" s="434" t="s">
        <v>7</v>
      </c>
      <c r="I121" s="434" t="s">
        <v>1</v>
      </c>
      <c r="J121" s="434" t="s">
        <v>25</v>
      </c>
      <c r="K121" s="435">
        <v>1</v>
      </c>
      <c r="L121" s="435"/>
      <c r="M121" s="434" t="s">
        <v>25</v>
      </c>
      <c r="N121" s="436">
        <v>1.37</v>
      </c>
      <c r="O121" s="436">
        <v>1.34</v>
      </c>
      <c r="P121" s="436">
        <v>1.3</v>
      </c>
      <c r="Q121" s="436">
        <v>1.27</v>
      </c>
      <c r="R121" s="436">
        <v>1.23</v>
      </c>
      <c r="S121" s="263"/>
      <c r="T121" s="264">
        <f t="shared" si="6"/>
        <v>0</v>
      </c>
      <c r="U121" s="437">
        <v>152</v>
      </c>
      <c r="V121" s="438">
        <v>373.83177570093454</v>
      </c>
      <c r="W121" s="439">
        <v>0</v>
      </c>
      <c r="X121" s="440">
        <v>10080</v>
      </c>
      <c r="Y121" s="262">
        <f t="shared" si="7"/>
        <v>0</v>
      </c>
    </row>
    <row r="122" spans="1:25" ht="16.5">
      <c r="A122" s="445" t="s">
        <v>300</v>
      </c>
      <c r="B122" s="434" t="s">
        <v>301</v>
      </c>
      <c r="C122" s="435">
        <v>30</v>
      </c>
      <c r="D122" s="435">
        <v>25</v>
      </c>
      <c r="E122" s="435">
        <v>15</v>
      </c>
      <c r="F122" s="434" t="s">
        <v>25</v>
      </c>
      <c r="G122" s="434" t="s">
        <v>3</v>
      </c>
      <c r="H122" s="434" t="s">
        <v>7</v>
      </c>
      <c r="I122" s="434" t="s">
        <v>1</v>
      </c>
      <c r="J122" s="434" t="s">
        <v>25</v>
      </c>
      <c r="K122" s="435">
        <v>1</v>
      </c>
      <c r="L122" s="435"/>
      <c r="M122" s="434" t="s">
        <v>25</v>
      </c>
      <c r="N122" s="436">
        <v>3.04</v>
      </c>
      <c r="O122" s="436">
        <v>2.96</v>
      </c>
      <c r="P122" s="436">
        <v>2.89</v>
      </c>
      <c r="Q122" s="436">
        <v>2.81</v>
      </c>
      <c r="R122" s="436">
        <v>2.74</v>
      </c>
      <c r="S122" s="263"/>
      <c r="T122" s="264">
        <f t="shared" si="6"/>
        <v>0</v>
      </c>
      <c r="U122" s="437">
        <v>180</v>
      </c>
      <c r="V122" s="438">
        <v>381.76033934252388</v>
      </c>
      <c r="W122" s="439">
        <v>0</v>
      </c>
      <c r="X122" s="440">
        <v>11250</v>
      </c>
      <c r="Y122" s="262">
        <f t="shared" si="7"/>
        <v>0</v>
      </c>
    </row>
    <row r="123" spans="1:25" ht="16.5">
      <c r="A123" s="445" t="s">
        <v>300</v>
      </c>
      <c r="B123" s="434" t="s">
        <v>101</v>
      </c>
      <c r="C123" s="435">
        <v>30</v>
      </c>
      <c r="D123" s="435">
        <v>29</v>
      </c>
      <c r="E123" s="435">
        <v>6</v>
      </c>
      <c r="F123" s="434" t="s">
        <v>25</v>
      </c>
      <c r="G123" s="434" t="s">
        <v>3</v>
      </c>
      <c r="H123" s="434" t="s">
        <v>2</v>
      </c>
      <c r="I123" s="434" t="s">
        <v>1</v>
      </c>
      <c r="J123" s="434" t="s">
        <v>25</v>
      </c>
      <c r="K123" s="435">
        <v>25</v>
      </c>
      <c r="L123" s="435"/>
      <c r="M123" s="434" t="s">
        <v>25</v>
      </c>
      <c r="N123" s="436">
        <v>3.86</v>
      </c>
      <c r="O123" s="436">
        <v>3.76</v>
      </c>
      <c r="P123" s="436">
        <v>3.67</v>
      </c>
      <c r="Q123" s="436">
        <v>3.57</v>
      </c>
      <c r="R123" s="436">
        <v>3.47</v>
      </c>
      <c r="S123" s="263"/>
      <c r="T123" s="264">
        <f t="shared" si="6"/>
        <v>0</v>
      </c>
      <c r="U123" s="437">
        <v>115</v>
      </c>
      <c r="V123" s="438">
        <v>259.71093044263773</v>
      </c>
      <c r="W123" s="439">
        <v>3.3</v>
      </c>
      <c r="X123" s="440">
        <v>5220</v>
      </c>
      <c r="Y123" s="262">
        <f t="shared" si="7"/>
        <v>0</v>
      </c>
    </row>
    <row r="124" spans="1:25" ht="16.5">
      <c r="A124" s="445" t="s">
        <v>300</v>
      </c>
      <c r="B124" s="434" t="s">
        <v>102</v>
      </c>
      <c r="C124" s="435">
        <v>31</v>
      </c>
      <c r="D124" s="435">
        <v>14</v>
      </c>
      <c r="E124" s="435">
        <v>10</v>
      </c>
      <c r="F124" s="434" t="s">
        <v>25</v>
      </c>
      <c r="G124" s="434" t="s">
        <v>3</v>
      </c>
      <c r="H124" s="434" t="s">
        <v>7</v>
      </c>
      <c r="I124" s="434" t="s">
        <v>1</v>
      </c>
      <c r="J124" s="434" t="s">
        <v>25</v>
      </c>
      <c r="K124" s="435">
        <v>25</v>
      </c>
      <c r="L124" s="435"/>
      <c r="M124" s="434" t="s">
        <v>25</v>
      </c>
      <c r="N124" s="436">
        <v>1.78</v>
      </c>
      <c r="O124" s="436">
        <v>1.74</v>
      </c>
      <c r="P124" s="436">
        <v>1.69</v>
      </c>
      <c r="Q124" s="436">
        <v>1.65</v>
      </c>
      <c r="R124" s="436">
        <v>1.6</v>
      </c>
      <c r="S124" s="263"/>
      <c r="T124" s="264">
        <f t="shared" si="6"/>
        <v>0</v>
      </c>
      <c r="U124" s="437">
        <v>75</v>
      </c>
      <c r="V124" s="438">
        <v>315.78947368421052</v>
      </c>
      <c r="W124" s="439">
        <v>3.3</v>
      </c>
      <c r="X124" s="440">
        <v>4340</v>
      </c>
      <c r="Y124" s="262">
        <f t="shared" si="7"/>
        <v>0</v>
      </c>
    </row>
    <row r="125" spans="1:25" ht="16.5">
      <c r="A125" s="445" t="s">
        <v>25</v>
      </c>
      <c r="B125" s="434" t="s">
        <v>454</v>
      </c>
      <c r="C125" s="435">
        <v>31</v>
      </c>
      <c r="D125" s="435">
        <v>20</v>
      </c>
      <c r="E125" s="435">
        <v>9</v>
      </c>
      <c r="F125" s="434" t="s">
        <v>25</v>
      </c>
      <c r="G125" s="434" t="s">
        <v>3</v>
      </c>
      <c r="H125" s="434" t="s">
        <v>7</v>
      </c>
      <c r="I125" s="434" t="s">
        <v>1</v>
      </c>
      <c r="J125" s="434" t="s">
        <v>25</v>
      </c>
      <c r="K125" s="441"/>
      <c r="L125" s="435"/>
      <c r="M125" s="434" t="s">
        <v>25</v>
      </c>
      <c r="N125" s="436">
        <v>0.99</v>
      </c>
      <c r="O125" s="436">
        <v>0.97</v>
      </c>
      <c r="P125" s="436">
        <v>0.94</v>
      </c>
      <c r="Q125" s="436">
        <v>0.92</v>
      </c>
      <c r="R125" s="436">
        <v>0.89</v>
      </c>
      <c r="S125" s="263"/>
      <c r="T125" s="264">
        <f t="shared" si="6"/>
        <v>0</v>
      </c>
      <c r="U125" s="437">
        <v>110</v>
      </c>
      <c r="V125" s="438">
        <v>342.67912772585669</v>
      </c>
      <c r="W125" s="439">
        <v>0</v>
      </c>
      <c r="X125" s="440">
        <v>5580</v>
      </c>
      <c r="Y125" s="262">
        <f t="shared" si="7"/>
        <v>0</v>
      </c>
    </row>
    <row r="126" spans="1:25" ht="16.5">
      <c r="A126" s="445" t="s">
        <v>300</v>
      </c>
      <c r="B126" s="434" t="s">
        <v>103</v>
      </c>
      <c r="C126" s="435">
        <v>31</v>
      </c>
      <c r="D126" s="435">
        <v>21</v>
      </c>
      <c r="E126" s="435">
        <v>4</v>
      </c>
      <c r="F126" s="434" t="s">
        <v>25</v>
      </c>
      <c r="G126" s="434" t="s">
        <v>3</v>
      </c>
      <c r="H126" s="434" t="s">
        <v>2</v>
      </c>
      <c r="I126" s="434" t="s">
        <v>1</v>
      </c>
      <c r="J126" s="434" t="s">
        <v>25</v>
      </c>
      <c r="K126" s="435">
        <v>25</v>
      </c>
      <c r="L126" s="435"/>
      <c r="M126" s="434" t="s">
        <v>25</v>
      </c>
      <c r="N126" s="436">
        <v>2.3199999999999998</v>
      </c>
      <c r="O126" s="436">
        <v>2.2599999999999998</v>
      </c>
      <c r="P126" s="436">
        <v>2.2000000000000002</v>
      </c>
      <c r="Q126" s="436">
        <v>2.15</v>
      </c>
      <c r="R126" s="436">
        <v>2.09</v>
      </c>
      <c r="S126" s="263"/>
      <c r="T126" s="264">
        <f t="shared" si="6"/>
        <v>0</v>
      </c>
      <c r="U126" s="437">
        <v>90</v>
      </c>
      <c r="V126" s="438">
        <v>317.5723359209598</v>
      </c>
      <c r="W126" s="439">
        <v>3.3</v>
      </c>
      <c r="X126" s="440">
        <v>2604</v>
      </c>
      <c r="Y126" s="262">
        <f t="shared" si="7"/>
        <v>0</v>
      </c>
    </row>
    <row r="127" spans="1:25" ht="16.5">
      <c r="A127" s="445" t="s">
        <v>300</v>
      </c>
      <c r="B127" s="434" t="s">
        <v>104</v>
      </c>
      <c r="C127" s="435">
        <v>31</v>
      </c>
      <c r="D127" s="435">
        <v>22</v>
      </c>
      <c r="E127" s="435">
        <v>12</v>
      </c>
      <c r="F127" s="434" t="s">
        <v>25</v>
      </c>
      <c r="G127" s="434" t="s">
        <v>3</v>
      </c>
      <c r="H127" s="434" t="s">
        <v>7</v>
      </c>
      <c r="I127" s="434" t="s">
        <v>1</v>
      </c>
      <c r="J127" s="434" t="s">
        <v>25</v>
      </c>
      <c r="K127" s="435">
        <v>25</v>
      </c>
      <c r="L127" s="435"/>
      <c r="M127" s="434" t="s">
        <v>25</v>
      </c>
      <c r="N127" s="436">
        <v>2.46</v>
      </c>
      <c r="O127" s="436">
        <v>2.4</v>
      </c>
      <c r="P127" s="436">
        <v>2.34</v>
      </c>
      <c r="Q127" s="436">
        <v>2.2799999999999998</v>
      </c>
      <c r="R127" s="436">
        <v>2.21</v>
      </c>
      <c r="S127" s="263"/>
      <c r="T127" s="264">
        <f t="shared" ref="T127:T162" si="8">(CHOOSE(((($L127&gt;=(0))+($L127&gt;=($O$6))+($L127&gt;=($P$6))+($L127&gt;=($Q$6))+($L127&gt;=($R$6)))),N127,O127,P127,Q127,R127))*L127</f>
        <v>0</v>
      </c>
      <c r="U127" s="437">
        <v>130</v>
      </c>
      <c r="V127" s="438">
        <v>334.62033462033463</v>
      </c>
      <c r="W127" s="439">
        <v>3.3</v>
      </c>
      <c r="X127" s="440">
        <v>8184</v>
      </c>
      <c r="Y127" s="262">
        <f t="shared" ref="Y127:Y158" si="9">(C127*D127*E127)-X127</f>
        <v>0</v>
      </c>
    </row>
    <row r="128" spans="1:25" ht="16.5">
      <c r="A128" s="445" t="s">
        <v>300</v>
      </c>
      <c r="B128" s="434" t="s">
        <v>105</v>
      </c>
      <c r="C128" s="435">
        <v>31</v>
      </c>
      <c r="D128" s="435">
        <v>25</v>
      </c>
      <c r="E128" s="435">
        <v>8</v>
      </c>
      <c r="F128" s="434" t="s">
        <v>25</v>
      </c>
      <c r="G128" s="434" t="s">
        <v>3</v>
      </c>
      <c r="H128" s="434" t="s">
        <v>7</v>
      </c>
      <c r="I128" s="434" t="s">
        <v>1</v>
      </c>
      <c r="J128" s="434" t="s">
        <v>25</v>
      </c>
      <c r="K128" s="435">
        <v>25</v>
      </c>
      <c r="L128" s="435"/>
      <c r="M128" s="434" t="s">
        <v>25</v>
      </c>
      <c r="N128" s="436">
        <v>2.56</v>
      </c>
      <c r="O128" s="436">
        <v>2.5</v>
      </c>
      <c r="P128" s="436">
        <v>2.4300000000000002</v>
      </c>
      <c r="Q128" s="436">
        <v>2.37</v>
      </c>
      <c r="R128" s="436">
        <v>2.2999999999999998</v>
      </c>
      <c r="S128" s="263"/>
      <c r="T128" s="264">
        <f t="shared" si="8"/>
        <v>0</v>
      </c>
      <c r="U128" s="437">
        <v>185</v>
      </c>
      <c r="V128" s="438">
        <v>465.05781799899449</v>
      </c>
      <c r="W128" s="439">
        <v>3.3</v>
      </c>
      <c r="X128" s="440">
        <v>6200</v>
      </c>
      <c r="Y128" s="262">
        <f t="shared" si="9"/>
        <v>0</v>
      </c>
    </row>
    <row r="129" spans="1:25" ht="16.5">
      <c r="A129" s="445" t="s">
        <v>25</v>
      </c>
      <c r="B129" s="434" t="s">
        <v>455</v>
      </c>
      <c r="C129" s="435">
        <v>31</v>
      </c>
      <c r="D129" s="435">
        <v>26</v>
      </c>
      <c r="E129" s="435">
        <v>19</v>
      </c>
      <c r="F129" s="434" t="s">
        <v>25</v>
      </c>
      <c r="G129" s="434" t="s">
        <v>4</v>
      </c>
      <c r="H129" s="434" t="s">
        <v>7</v>
      </c>
      <c r="I129" s="434" t="s">
        <v>1</v>
      </c>
      <c r="J129" s="434" t="s">
        <v>25</v>
      </c>
      <c r="K129" s="435">
        <v>1</v>
      </c>
      <c r="L129" s="435"/>
      <c r="M129" s="434" t="s">
        <v>25</v>
      </c>
      <c r="N129" s="436">
        <v>1.85</v>
      </c>
      <c r="O129" s="436">
        <v>1.8</v>
      </c>
      <c r="P129" s="436">
        <v>1.76</v>
      </c>
      <c r="Q129" s="436">
        <v>1.71</v>
      </c>
      <c r="R129" s="436">
        <v>1.66</v>
      </c>
      <c r="S129" s="263"/>
      <c r="T129" s="264">
        <f t="shared" si="8"/>
        <v>0</v>
      </c>
      <c r="U129" s="437">
        <v>206</v>
      </c>
      <c r="V129" s="438">
        <v>376.32444282060652</v>
      </c>
      <c r="W129" s="439">
        <v>0</v>
      </c>
      <c r="X129" s="440">
        <v>15314</v>
      </c>
      <c r="Y129" s="262">
        <f t="shared" si="9"/>
        <v>0</v>
      </c>
    </row>
    <row r="130" spans="1:25" ht="16.5">
      <c r="A130" s="445" t="s">
        <v>300</v>
      </c>
      <c r="B130" s="434" t="s">
        <v>106</v>
      </c>
      <c r="C130" s="435">
        <v>32</v>
      </c>
      <c r="D130" s="435">
        <v>23</v>
      </c>
      <c r="E130" s="435">
        <v>6</v>
      </c>
      <c r="F130" s="434" t="s">
        <v>25</v>
      </c>
      <c r="G130" s="434" t="s">
        <v>3</v>
      </c>
      <c r="H130" s="434" t="s">
        <v>7</v>
      </c>
      <c r="I130" s="434" t="s">
        <v>1</v>
      </c>
      <c r="J130" s="434" t="s">
        <v>25</v>
      </c>
      <c r="K130" s="435">
        <v>25</v>
      </c>
      <c r="L130" s="435"/>
      <c r="M130" s="434" t="s">
        <v>25</v>
      </c>
      <c r="N130" s="436">
        <v>2.3199999999999998</v>
      </c>
      <c r="O130" s="436">
        <v>2.2599999999999998</v>
      </c>
      <c r="P130" s="436">
        <v>2.2000000000000002</v>
      </c>
      <c r="Q130" s="436">
        <v>2.15</v>
      </c>
      <c r="R130" s="436">
        <v>2.09</v>
      </c>
      <c r="S130" s="263"/>
      <c r="T130" s="264">
        <f t="shared" si="8"/>
        <v>0</v>
      </c>
      <c r="U130" s="437">
        <v>125</v>
      </c>
      <c r="V130" s="438">
        <v>362.31884057971018</v>
      </c>
      <c r="W130" s="439">
        <v>3.3</v>
      </c>
      <c r="X130" s="440">
        <v>4416</v>
      </c>
      <c r="Y130" s="262">
        <f t="shared" si="9"/>
        <v>0</v>
      </c>
    </row>
    <row r="131" spans="1:25" ht="16.5">
      <c r="A131" s="445" t="s">
        <v>25</v>
      </c>
      <c r="B131" s="434" t="s">
        <v>400</v>
      </c>
      <c r="C131" s="435">
        <v>32</v>
      </c>
      <c r="D131" s="435">
        <v>23</v>
      </c>
      <c r="E131" s="435">
        <v>12</v>
      </c>
      <c r="F131" s="434" t="s">
        <v>25</v>
      </c>
      <c r="G131" s="434" t="s">
        <v>3</v>
      </c>
      <c r="H131" s="434" t="s">
        <v>2</v>
      </c>
      <c r="I131" s="434" t="s">
        <v>1</v>
      </c>
      <c r="J131" s="434" t="s">
        <v>25</v>
      </c>
      <c r="K131" s="435">
        <v>1</v>
      </c>
      <c r="L131" s="435"/>
      <c r="M131" s="434" t="s">
        <v>25</v>
      </c>
      <c r="N131" s="436">
        <v>6.32</v>
      </c>
      <c r="O131" s="436">
        <v>6.16</v>
      </c>
      <c r="P131" s="436">
        <v>6</v>
      </c>
      <c r="Q131" s="436">
        <v>5.85</v>
      </c>
      <c r="R131" s="436">
        <v>5.69</v>
      </c>
      <c r="S131" s="263"/>
      <c r="T131" s="264">
        <f t="shared" si="8"/>
        <v>0</v>
      </c>
      <c r="U131" s="437">
        <v>180</v>
      </c>
      <c r="V131" s="438">
        <v>434.78260869565219</v>
      </c>
      <c r="W131" s="439">
        <v>0</v>
      </c>
      <c r="X131" s="440">
        <v>8832</v>
      </c>
      <c r="Y131" s="262">
        <f t="shared" si="9"/>
        <v>0</v>
      </c>
    </row>
    <row r="132" spans="1:25" ht="16.5">
      <c r="A132" s="445" t="s">
        <v>300</v>
      </c>
      <c r="B132" s="434" t="s">
        <v>310</v>
      </c>
      <c r="C132" s="435">
        <v>32</v>
      </c>
      <c r="D132" s="435">
        <v>29</v>
      </c>
      <c r="E132" s="435">
        <v>33</v>
      </c>
      <c r="F132" s="434" t="s">
        <v>25</v>
      </c>
      <c r="G132" s="434" t="s">
        <v>11</v>
      </c>
      <c r="H132" s="434" t="s">
        <v>7</v>
      </c>
      <c r="I132" s="434" t="s">
        <v>1</v>
      </c>
      <c r="J132" s="434" t="s">
        <v>25</v>
      </c>
      <c r="K132" s="435">
        <v>1</v>
      </c>
      <c r="L132" s="435"/>
      <c r="M132" s="434" t="s">
        <v>25</v>
      </c>
      <c r="N132" s="436">
        <v>2.92</v>
      </c>
      <c r="O132" s="436">
        <v>2.85</v>
      </c>
      <c r="P132" s="436">
        <v>2.77</v>
      </c>
      <c r="Q132" s="436">
        <v>2.7</v>
      </c>
      <c r="R132" s="436">
        <v>2.63</v>
      </c>
      <c r="S132" s="263"/>
      <c r="T132" s="264">
        <f t="shared" si="8"/>
        <v>0</v>
      </c>
      <c r="U132" s="437">
        <v>366</v>
      </c>
      <c r="V132" s="438">
        <v>457.44281964754401</v>
      </c>
      <c r="W132" s="439">
        <v>3.3</v>
      </c>
      <c r="X132" s="440">
        <v>30624</v>
      </c>
      <c r="Y132" s="262">
        <f t="shared" si="9"/>
        <v>0</v>
      </c>
    </row>
    <row r="133" spans="1:25" ht="16.5">
      <c r="A133" s="445" t="s">
        <v>25</v>
      </c>
      <c r="B133" s="434" t="s">
        <v>456</v>
      </c>
      <c r="C133" s="435">
        <v>33</v>
      </c>
      <c r="D133" s="435">
        <v>23</v>
      </c>
      <c r="E133" s="435">
        <v>14</v>
      </c>
      <c r="F133" s="434" t="s">
        <v>25</v>
      </c>
      <c r="G133" s="434" t="s">
        <v>4</v>
      </c>
      <c r="H133" s="434" t="s">
        <v>7</v>
      </c>
      <c r="I133" s="434" t="s">
        <v>1</v>
      </c>
      <c r="J133" s="434" t="s">
        <v>25</v>
      </c>
      <c r="K133" s="435">
        <v>1</v>
      </c>
      <c r="L133" s="435"/>
      <c r="M133" s="434" t="s">
        <v>25</v>
      </c>
      <c r="N133" s="436">
        <v>1.3</v>
      </c>
      <c r="O133" s="436">
        <v>1.27</v>
      </c>
      <c r="P133" s="436">
        <v>1.23</v>
      </c>
      <c r="Q133" s="436">
        <v>1.2</v>
      </c>
      <c r="R133" s="436">
        <v>1.17</v>
      </c>
      <c r="S133" s="263"/>
      <c r="T133" s="264">
        <f t="shared" si="8"/>
        <v>0</v>
      </c>
      <c r="U133" s="437">
        <v>144</v>
      </c>
      <c r="V133" s="438">
        <v>323.88663967611336</v>
      </c>
      <c r="W133" s="439">
        <v>0</v>
      </c>
      <c r="X133" s="440">
        <v>10626</v>
      </c>
      <c r="Y133" s="262">
        <f t="shared" si="9"/>
        <v>0</v>
      </c>
    </row>
    <row r="134" spans="1:25" ht="16.5">
      <c r="A134" s="445" t="s">
        <v>300</v>
      </c>
      <c r="B134" s="434" t="s">
        <v>107</v>
      </c>
      <c r="C134" s="435">
        <v>33</v>
      </c>
      <c r="D134" s="435">
        <v>33</v>
      </c>
      <c r="E134" s="435">
        <v>2</v>
      </c>
      <c r="F134" s="434" t="s">
        <v>25</v>
      </c>
      <c r="G134" s="434" t="s">
        <v>3</v>
      </c>
      <c r="H134" s="434" t="s">
        <v>2</v>
      </c>
      <c r="I134" s="434" t="s">
        <v>1</v>
      </c>
      <c r="J134" s="434" t="s">
        <v>25</v>
      </c>
      <c r="K134" s="435">
        <v>1</v>
      </c>
      <c r="L134" s="435"/>
      <c r="M134" s="434" t="s">
        <v>25</v>
      </c>
      <c r="N134" s="436">
        <v>3.48</v>
      </c>
      <c r="O134" s="436">
        <v>3.39</v>
      </c>
      <c r="P134" s="436">
        <v>3.31</v>
      </c>
      <c r="Q134" s="436">
        <v>3.22</v>
      </c>
      <c r="R134" s="436">
        <v>3.13</v>
      </c>
      <c r="S134" s="263"/>
      <c r="T134" s="264">
        <f t="shared" si="8"/>
        <v>0</v>
      </c>
      <c r="U134" s="437">
        <v>125</v>
      </c>
      <c r="V134" s="438">
        <v>253.44687753446877</v>
      </c>
      <c r="W134" s="439">
        <v>3.3</v>
      </c>
      <c r="X134" s="440">
        <v>2178</v>
      </c>
      <c r="Y134" s="262">
        <f t="shared" si="9"/>
        <v>0</v>
      </c>
    </row>
    <row r="135" spans="1:25" ht="16.5">
      <c r="A135" s="445" t="s">
        <v>300</v>
      </c>
      <c r="B135" s="434" t="s">
        <v>108</v>
      </c>
      <c r="C135" s="435">
        <v>34</v>
      </c>
      <c r="D135" s="435">
        <v>16</v>
      </c>
      <c r="E135" s="435">
        <v>24</v>
      </c>
      <c r="F135" s="434" t="s">
        <v>25</v>
      </c>
      <c r="G135" s="434" t="s">
        <v>3</v>
      </c>
      <c r="H135" s="434" t="s">
        <v>7</v>
      </c>
      <c r="I135" s="434" t="s">
        <v>1</v>
      </c>
      <c r="J135" s="434" t="s">
        <v>25</v>
      </c>
      <c r="K135" s="435">
        <v>1</v>
      </c>
      <c r="L135" s="435"/>
      <c r="M135" s="434" t="s">
        <v>25</v>
      </c>
      <c r="N135" s="436">
        <v>2.74</v>
      </c>
      <c r="O135" s="436">
        <v>2.67</v>
      </c>
      <c r="P135" s="436">
        <v>2.6</v>
      </c>
      <c r="Q135" s="436">
        <v>2.5299999999999998</v>
      </c>
      <c r="R135" s="436">
        <v>2.4700000000000002</v>
      </c>
      <c r="S135" s="263"/>
      <c r="T135" s="264">
        <f t="shared" si="8"/>
        <v>0</v>
      </c>
      <c r="U135" s="437">
        <v>170</v>
      </c>
      <c r="V135" s="438">
        <v>394.88966318234611</v>
      </c>
      <c r="W135" s="439">
        <v>3.3</v>
      </c>
      <c r="X135" s="440">
        <v>13056</v>
      </c>
      <c r="Y135" s="262">
        <f t="shared" si="9"/>
        <v>0</v>
      </c>
    </row>
    <row r="136" spans="1:25" ht="16.5">
      <c r="A136" s="445" t="s">
        <v>25</v>
      </c>
      <c r="B136" s="434" t="s">
        <v>401</v>
      </c>
      <c r="C136" s="435">
        <v>34</v>
      </c>
      <c r="D136" s="435">
        <v>20</v>
      </c>
      <c r="E136" s="435">
        <v>24</v>
      </c>
      <c r="F136" s="434" t="s">
        <v>25</v>
      </c>
      <c r="G136" s="434" t="s">
        <v>11</v>
      </c>
      <c r="H136" s="434" t="s">
        <v>7</v>
      </c>
      <c r="I136" s="434" t="s">
        <v>10</v>
      </c>
      <c r="J136" s="434" t="s">
        <v>25</v>
      </c>
      <c r="K136" s="435">
        <v>1</v>
      </c>
      <c r="L136" s="435"/>
      <c r="M136" s="434" t="s">
        <v>25</v>
      </c>
      <c r="N136" s="436">
        <v>2.66</v>
      </c>
      <c r="O136" s="436">
        <v>2.59</v>
      </c>
      <c r="P136" s="436">
        <v>2.5299999999999998</v>
      </c>
      <c r="Q136" s="436">
        <v>2.46</v>
      </c>
      <c r="R136" s="436">
        <v>2.39</v>
      </c>
      <c r="S136" s="263"/>
      <c r="T136" s="264">
        <f t="shared" si="8"/>
        <v>0</v>
      </c>
      <c r="U136" s="437">
        <v>332</v>
      </c>
      <c r="V136" s="438">
        <v>652.90068829891845</v>
      </c>
      <c r="W136" s="439">
        <v>0</v>
      </c>
      <c r="X136" s="440">
        <v>16320</v>
      </c>
      <c r="Y136" s="262">
        <f t="shared" si="9"/>
        <v>0</v>
      </c>
    </row>
    <row r="137" spans="1:25" ht="16.5">
      <c r="A137" s="445" t="s">
        <v>300</v>
      </c>
      <c r="B137" s="434" t="s">
        <v>109</v>
      </c>
      <c r="C137" s="435">
        <v>34</v>
      </c>
      <c r="D137" s="435">
        <v>21</v>
      </c>
      <c r="E137" s="435">
        <v>14</v>
      </c>
      <c r="F137" s="434" t="s">
        <v>25</v>
      </c>
      <c r="G137" s="434" t="s">
        <v>3</v>
      </c>
      <c r="H137" s="434" t="s">
        <v>2</v>
      </c>
      <c r="I137" s="434" t="s">
        <v>1</v>
      </c>
      <c r="J137" s="434" t="s">
        <v>25</v>
      </c>
      <c r="K137" s="435">
        <v>1</v>
      </c>
      <c r="L137" s="435"/>
      <c r="M137" s="434" t="s">
        <v>25</v>
      </c>
      <c r="N137" s="436">
        <v>8.0399999999999991</v>
      </c>
      <c r="O137" s="436">
        <v>7.84</v>
      </c>
      <c r="P137" s="436">
        <v>7.64</v>
      </c>
      <c r="Q137" s="436">
        <v>7.44</v>
      </c>
      <c r="R137" s="436">
        <v>7.24</v>
      </c>
      <c r="S137" s="263"/>
      <c r="T137" s="264">
        <f t="shared" si="8"/>
        <v>0</v>
      </c>
      <c r="U137" s="437">
        <v>214</v>
      </c>
      <c r="V137" s="438">
        <v>516.90821256038646</v>
      </c>
      <c r="W137" s="439">
        <v>3.3</v>
      </c>
      <c r="X137" s="440">
        <v>9996</v>
      </c>
      <c r="Y137" s="262">
        <f t="shared" si="9"/>
        <v>0</v>
      </c>
    </row>
    <row r="138" spans="1:25" ht="16.5">
      <c r="A138" s="445" t="s">
        <v>300</v>
      </c>
      <c r="B138" s="434" t="s">
        <v>110</v>
      </c>
      <c r="C138" s="435">
        <v>34</v>
      </c>
      <c r="D138" s="435">
        <v>24</v>
      </c>
      <c r="E138" s="435">
        <v>4</v>
      </c>
      <c r="F138" s="434" t="s">
        <v>25</v>
      </c>
      <c r="G138" s="434" t="s">
        <v>3</v>
      </c>
      <c r="H138" s="434" t="s">
        <v>7</v>
      </c>
      <c r="I138" s="434" t="s">
        <v>1</v>
      </c>
      <c r="J138" s="434" t="s">
        <v>25</v>
      </c>
      <c r="K138" s="435">
        <v>1</v>
      </c>
      <c r="L138" s="435"/>
      <c r="M138" s="434" t="s">
        <v>25</v>
      </c>
      <c r="N138" s="436">
        <v>2.2999999999999998</v>
      </c>
      <c r="O138" s="436">
        <v>2.2400000000000002</v>
      </c>
      <c r="P138" s="436">
        <v>2.1800000000000002</v>
      </c>
      <c r="Q138" s="436">
        <v>2.13</v>
      </c>
      <c r="R138" s="436">
        <v>2.0699999999999998</v>
      </c>
      <c r="S138" s="263"/>
      <c r="T138" s="264">
        <f t="shared" si="8"/>
        <v>0</v>
      </c>
      <c r="U138" s="437">
        <v>122</v>
      </c>
      <c r="V138" s="438">
        <v>347.67740096893704</v>
      </c>
      <c r="W138" s="439">
        <v>3.3</v>
      </c>
      <c r="X138" s="440">
        <v>3264</v>
      </c>
      <c r="Y138" s="262">
        <f t="shared" si="9"/>
        <v>0</v>
      </c>
    </row>
    <row r="139" spans="1:25" ht="16.5">
      <c r="A139" s="445" t="s">
        <v>300</v>
      </c>
      <c r="B139" s="434" t="s">
        <v>111</v>
      </c>
      <c r="C139" s="435">
        <v>34</v>
      </c>
      <c r="D139" s="435">
        <v>29</v>
      </c>
      <c r="E139" s="435">
        <v>7</v>
      </c>
      <c r="F139" s="434" t="s">
        <v>25</v>
      </c>
      <c r="G139" s="434" t="s">
        <v>3</v>
      </c>
      <c r="H139" s="434" t="s">
        <v>2</v>
      </c>
      <c r="I139" s="434" t="s">
        <v>1</v>
      </c>
      <c r="J139" s="434" t="s">
        <v>25</v>
      </c>
      <c r="K139" s="435">
        <v>1</v>
      </c>
      <c r="L139" s="435"/>
      <c r="M139" s="434" t="s">
        <v>25</v>
      </c>
      <c r="N139" s="436">
        <v>4.5999999999999996</v>
      </c>
      <c r="O139" s="436">
        <v>4.49</v>
      </c>
      <c r="P139" s="436">
        <v>4.37</v>
      </c>
      <c r="Q139" s="436">
        <v>4.26</v>
      </c>
      <c r="R139" s="436">
        <v>4.1399999999999997</v>
      </c>
      <c r="S139" s="263"/>
      <c r="T139" s="264">
        <f t="shared" si="8"/>
        <v>0</v>
      </c>
      <c r="U139" s="437">
        <v>130</v>
      </c>
      <c r="V139" s="438">
        <v>268.20713843614607</v>
      </c>
      <c r="W139" s="439">
        <v>3.3</v>
      </c>
      <c r="X139" s="440">
        <v>6902</v>
      </c>
      <c r="Y139" s="262">
        <f t="shared" si="9"/>
        <v>0</v>
      </c>
    </row>
    <row r="140" spans="1:25" ht="16.5">
      <c r="A140" s="445" t="s">
        <v>300</v>
      </c>
      <c r="B140" s="434" t="s">
        <v>112</v>
      </c>
      <c r="C140" s="435">
        <v>34</v>
      </c>
      <c r="D140" s="435">
        <v>32</v>
      </c>
      <c r="E140" s="435">
        <v>6</v>
      </c>
      <c r="F140" s="434" t="s">
        <v>25</v>
      </c>
      <c r="G140" s="434" t="s">
        <v>3</v>
      </c>
      <c r="H140" s="434" t="s">
        <v>2</v>
      </c>
      <c r="I140" s="434" t="s">
        <v>1</v>
      </c>
      <c r="J140" s="434" t="s">
        <v>25</v>
      </c>
      <c r="K140" s="435">
        <v>25</v>
      </c>
      <c r="L140" s="435"/>
      <c r="M140" s="434" t="s">
        <v>25</v>
      </c>
      <c r="N140" s="436">
        <v>4</v>
      </c>
      <c r="O140" s="436">
        <v>3.9</v>
      </c>
      <c r="P140" s="436">
        <v>3.8</v>
      </c>
      <c r="Q140" s="436">
        <v>3.7</v>
      </c>
      <c r="R140" s="436">
        <v>3.6</v>
      </c>
      <c r="S140" s="263"/>
      <c r="T140" s="264">
        <f t="shared" si="8"/>
        <v>0</v>
      </c>
      <c r="U140" s="437">
        <v>125</v>
      </c>
      <c r="V140" s="438">
        <v>233.95096387797119</v>
      </c>
      <c r="W140" s="439">
        <v>3.3</v>
      </c>
      <c r="X140" s="440">
        <v>6528</v>
      </c>
      <c r="Y140" s="262">
        <f t="shared" si="9"/>
        <v>0</v>
      </c>
    </row>
    <row r="141" spans="1:25" ht="16.5">
      <c r="A141" s="445" t="s">
        <v>25</v>
      </c>
      <c r="B141" s="434" t="s">
        <v>457</v>
      </c>
      <c r="C141" s="435">
        <v>35</v>
      </c>
      <c r="D141" s="435">
        <v>23</v>
      </c>
      <c r="E141" s="435">
        <v>29</v>
      </c>
      <c r="F141" s="434" t="s">
        <v>25</v>
      </c>
      <c r="G141" s="434" t="s">
        <v>11</v>
      </c>
      <c r="H141" s="434" t="s">
        <v>7</v>
      </c>
      <c r="I141" s="434" t="s">
        <v>1</v>
      </c>
      <c r="J141" s="434" t="s">
        <v>25</v>
      </c>
      <c r="K141" s="435">
        <v>1</v>
      </c>
      <c r="L141" s="435"/>
      <c r="M141" s="434" t="s">
        <v>25</v>
      </c>
      <c r="N141" s="436">
        <v>1.81</v>
      </c>
      <c r="O141" s="436">
        <v>1.76</v>
      </c>
      <c r="P141" s="436">
        <v>1.72</v>
      </c>
      <c r="Q141" s="436">
        <v>1.67</v>
      </c>
      <c r="R141" s="436">
        <v>1.63</v>
      </c>
      <c r="S141" s="263"/>
      <c r="T141" s="264">
        <f t="shared" si="8"/>
        <v>0</v>
      </c>
      <c r="U141" s="437">
        <v>226</v>
      </c>
      <c r="V141" s="438">
        <v>352.40916887572121</v>
      </c>
      <c r="W141" s="439">
        <v>0</v>
      </c>
      <c r="X141" s="440">
        <v>23345</v>
      </c>
      <c r="Y141" s="262">
        <f t="shared" si="9"/>
        <v>0</v>
      </c>
    </row>
    <row r="142" spans="1:25" ht="16.5">
      <c r="A142" s="445" t="s">
        <v>25</v>
      </c>
      <c r="B142" s="434" t="s">
        <v>458</v>
      </c>
      <c r="C142" s="435">
        <v>35</v>
      </c>
      <c r="D142" s="435">
        <v>24</v>
      </c>
      <c r="E142" s="435">
        <v>27</v>
      </c>
      <c r="F142" s="434" t="s">
        <v>25</v>
      </c>
      <c r="G142" s="434" t="s">
        <v>11</v>
      </c>
      <c r="H142" s="434" t="s">
        <v>7</v>
      </c>
      <c r="I142" s="434" t="s">
        <v>1</v>
      </c>
      <c r="J142" s="434" t="s">
        <v>25</v>
      </c>
      <c r="K142" s="435">
        <v>1</v>
      </c>
      <c r="L142" s="435"/>
      <c r="M142" s="434" t="s">
        <v>25</v>
      </c>
      <c r="N142" s="436">
        <v>2.2000000000000002</v>
      </c>
      <c r="O142" s="436">
        <v>2.15</v>
      </c>
      <c r="P142" s="436">
        <v>2.09</v>
      </c>
      <c r="Q142" s="436">
        <v>2.04</v>
      </c>
      <c r="R142" s="436">
        <v>1.98</v>
      </c>
      <c r="S142" s="263"/>
      <c r="T142" s="264">
        <f t="shared" si="8"/>
        <v>0</v>
      </c>
      <c r="U142" s="437">
        <v>244</v>
      </c>
      <c r="V142" s="438">
        <v>381.48843026891808</v>
      </c>
      <c r="W142" s="439">
        <v>0</v>
      </c>
      <c r="X142" s="440">
        <v>22680</v>
      </c>
      <c r="Y142" s="262">
        <f t="shared" si="9"/>
        <v>0</v>
      </c>
    </row>
    <row r="143" spans="1:25" ht="16.5">
      <c r="A143" s="445" t="s">
        <v>300</v>
      </c>
      <c r="B143" s="434" t="s">
        <v>113</v>
      </c>
      <c r="C143" s="435">
        <v>35</v>
      </c>
      <c r="D143" s="435">
        <v>28</v>
      </c>
      <c r="E143" s="435">
        <v>14</v>
      </c>
      <c r="F143" s="434" t="s">
        <v>25</v>
      </c>
      <c r="G143" s="434" t="s">
        <v>3</v>
      </c>
      <c r="H143" s="434" t="s">
        <v>2</v>
      </c>
      <c r="I143" s="434" t="s">
        <v>1</v>
      </c>
      <c r="J143" s="434" t="s">
        <v>25</v>
      </c>
      <c r="K143" s="435">
        <v>1</v>
      </c>
      <c r="L143" s="435"/>
      <c r="M143" s="434" t="s">
        <v>25</v>
      </c>
      <c r="N143" s="436">
        <v>8.0399999999999991</v>
      </c>
      <c r="O143" s="436">
        <v>7.84</v>
      </c>
      <c r="P143" s="436">
        <v>7.64</v>
      </c>
      <c r="Q143" s="436">
        <v>7.44</v>
      </c>
      <c r="R143" s="436">
        <v>7.24</v>
      </c>
      <c r="S143" s="263"/>
      <c r="T143" s="264">
        <f t="shared" si="8"/>
        <v>0</v>
      </c>
      <c r="U143" s="437">
        <v>260</v>
      </c>
      <c r="V143" s="438">
        <v>461.56577312266995</v>
      </c>
      <c r="W143" s="439">
        <v>3.3</v>
      </c>
      <c r="X143" s="440">
        <v>13720</v>
      </c>
      <c r="Y143" s="262">
        <f t="shared" si="9"/>
        <v>0</v>
      </c>
    </row>
    <row r="144" spans="1:25" ht="16.5">
      <c r="A144" s="445" t="s">
        <v>300</v>
      </c>
      <c r="B144" s="434" t="s">
        <v>114</v>
      </c>
      <c r="C144" s="435">
        <v>35</v>
      </c>
      <c r="D144" s="435">
        <v>28</v>
      </c>
      <c r="E144" s="435">
        <v>22</v>
      </c>
      <c r="F144" s="434" t="s">
        <v>25</v>
      </c>
      <c r="G144" s="434" t="s">
        <v>3</v>
      </c>
      <c r="H144" s="434" t="s">
        <v>7</v>
      </c>
      <c r="I144" s="434" t="s">
        <v>1</v>
      </c>
      <c r="J144" s="434" t="s">
        <v>25</v>
      </c>
      <c r="K144" s="435">
        <v>1</v>
      </c>
      <c r="L144" s="435"/>
      <c r="M144" s="434" t="s">
        <v>25</v>
      </c>
      <c r="N144" s="436">
        <v>4.42</v>
      </c>
      <c r="O144" s="436">
        <v>4.3099999999999996</v>
      </c>
      <c r="P144" s="436">
        <v>4.2</v>
      </c>
      <c r="Q144" s="436">
        <v>4.09</v>
      </c>
      <c r="R144" s="436">
        <v>3.98</v>
      </c>
      <c r="S144" s="263"/>
      <c r="T144" s="264">
        <f t="shared" si="8"/>
        <v>0</v>
      </c>
      <c r="U144" s="437">
        <v>235</v>
      </c>
      <c r="V144" s="438">
        <v>351.74375093548866</v>
      </c>
      <c r="W144" s="439">
        <v>3.3</v>
      </c>
      <c r="X144" s="440">
        <v>21560</v>
      </c>
      <c r="Y144" s="262">
        <f t="shared" si="9"/>
        <v>0</v>
      </c>
    </row>
    <row r="145" spans="1:25" ht="16.5">
      <c r="A145" s="445" t="s">
        <v>25</v>
      </c>
      <c r="B145" s="434" t="s">
        <v>402</v>
      </c>
      <c r="C145" s="435">
        <v>35</v>
      </c>
      <c r="D145" s="435">
        <v>29</v>
      </c>
      <c r="E145" s="435">
        <v>15</v>
      </c>
      <c r="F145" s="434" t="s">
        <v>25</v>
      </c>
      <c r="G145" s="434" t="s">
        <v>3</v>
      </c>
      <c r="H145" s="434" t="s">
        <v>2</v>
      </c>
      <c r="I145" s="434" t="s">
        <v>1</v>
      </c>
      <c r="J145" s="434" t="s">
        <v>25</v>
      </c>
      <c r="K145" s="435">
        <v>1</v>
      </c>
      <c r="L145" s="435"/>
      <c r="M145" s="434" t="s">
        <v>25</v>
      </c>
      <c r="N145" s="436">
        <v>9.9600000000000009</v>
      </c>
      <c r="O145" s="436">
        <v>9.7100000000000009</v>
      </c>
      <c r="P145" s="436">
        <v>9.4600000000000009</v>
      </c>
      <c r="Q145" s="436">
        <v>9.2100000000000009</v>
      </c>
      <c r="R145" s="436">
        <v>8.9600000000000009</v>
      </c>
      <c r="S145" s="263"/>
      <c r="T145" s="264">
        <f t="shared" si="8"/>
        <v>0</v>
      </c>
      <c r="U145" s="437">
        <v>206</v>
      </c>
      <c r="V145" s="438">
        <v>344.19381787802837</v>
      </c>
      <c r="W145" s="439">
        <v>0</v>
      </c>
      <c r="X145" s="440">
        <v>15225</v>
      </c>
      <c r="Y145" s="262">
        <f t="shared" si="9"/>
        <v>0</v>
      </c>
    </row>
    <row r="146" spans="1:25" ht="16.5">
      <c r="A146" s="445" t="s">
        <v>25</v>
      </c>
      <c r="B146" s="434" t="s">
        <v>459</v>
      </c>
      <c r="C146" s="435">
        <v>35</v>
      </c>
      <c r="D146" s="435">
        <v>30</v>
      </c>
      <c r="E146" s="435">
        <v>22</v>
      </c>
      <c r="F146" s="434" t="s">
        <v>25</v>
      </c>
      <c r="G146" s="434" t="s">
        <v>3</v>
      </c>
      <c r="H146" s="434" t="s">
        <v>2</v>
      </c>
      <c r="I146" s="434" t="s">
        <v>1</v>
      </c>
      <c r="J146" s="434" t="s">
        <v>25</v>
      </c>
      <c r="K146" s="435">
        <v>1</v>
      </c>
      <c r="L146" s="435"/>
      <c r="M146" s="434" t="s">
        <v>25</v>
      </c>
      <c r="N146" s="436">
        <v>11</v>
      </c>
      <c r="O146" s="436">
        <v>10.73</v>
      </c>
      <c r="P146" s="436">
        <v>10.45</v>
      </c>
      <c r="Q146" s="436">
        <v>10.18</v>
      </c>
      <c r="R146" s="436">
        <v>9.9</v>
      </c>
      <c r="S146" s="263"/>
      <c r="T146" s="264">
        <f t="shared" si="8"/>
        <v>0</v>
      </c>
      <c r="U146" s="437">
        <v>358</v>
      </c>
      <c r="V146" s="438">
        <v>500.34940600978337</v>
      </c>
      <c r="W146" s="439">
        <v>0</v>
      </c>
      <c r="X146" s="440">
        <v>23100</v>
      </c>
      <c r="Y146" s="262">
        <f t="shared" si="9"/>
        <v>0</v>
      </c>
    </row>
    <row r="147" spans="1:25" ht="16.5">
      <c r="A147" s="445" t="s">
        <v>25</v>
      </c>
      <c r="B147" s="434" t="s">
        <v>403</v>
      </c>
      <c r="C147" s="435">
        <v>35</v>
      </c>
      <c r="D147" s="435">
        <v>32</v>
      </c>
      <c r="E147" s="435">
        <v>33</v>
      </c>
      <c r="F147" s="434" t="s">
        <v>25</v>
      </c>
      <c r="G147" s="434" t="s">
        <v>11</v>
      </c>
      <c r="H147" s="434" t="s">
        <v>7</v>
      </c>
      <c r="I147" s="434" t="s">
        <v>1</v>
      </c>
      <c r="J147" s="434" t="s">
        <v>25</v>
      </c>
      <c r="K147" s="435">
        <v>1</v>
      </c>
      <c r="L147" s="435"/>
      <c r="M147" s="434" t="s">
        <v>25</v>
      </c>
      <c r="N147" s="436">
        <v>3.57</v>
      </c>
      <c r="O147" s="436">
        <v>3.48</v>
      </c>
      <c r="P147" s="436">
        <v>3.39</v>
      </c>
      <c r="Q147" s="436">
        <v>3.3</v>
      </c>
      <c r="R147" s="436">
        <v>3.21</v>
      </c>
      <c r="S147" s="263"/>
      <c r="T147" s="264">
        <f t="shared" si="8"/>
        <v>0</v>
      </c>
      <c r="U147" s="437">
        <v>446</v>
      </c>
      <c r="V147" s="438">
        <v>486.15652932199697</v>
      </c>
      <c r="W147" s="439">
        <v>0</v>
      </c>
      <c r="X147" s="440">
        <v>36960</v>
      </c>
      <c r="Y147" s="262">
        <f t="shared" si="9"/>
        <v>0</v>
      </c>
    </row>
    <row r="148" spans="1:25" ht="16.5">
      <c r="A148" s="445" t="s">
        <v>300</v>
      </c>
      <c r="B148" s="434" t="s">
        <v>19</v>
      </c>
      <c r="C148" s="435">
        <v>36</v>
      </c>
      <c r="D148" s="435">
        <v>15</v>
      </c>
      <c r="E148" s="435">
        <v>4</v>
      </c>
      <c r="F148" s="434" t="s">
        <v>25</v>
      </c>
      <c r="G148" s="434" t="s">
        <v>3</v>
      </c>
      <c r="H148" s="434" t="s">
        <v>2</v>
      </c>
      <c r="I148" s="434" t="s">
        <v>1</v>
      </c>
      <c r="J148" s="434" t="s">
        <v>25</v>
      </c>
      <c r="K148" s="435">
        <v>1</v>
      </c>
      <c r="L148" s="435"/>
      <c r="M148" s="434" t="s">
        <v>25</v>
      </c>
      <c r="N148" s="436">
        <v>1.96</v>
      </c>
      <c r="O148" s="436">
        <v>1.91</v>
      </c>
      <c r="P148" s="436">
        <v>1.86</v>
      </c>
      <c r="Q148" s="436">
        <v>1.81</v>
      </c>
      <c r="R148" s="436">
        <v>1.76</v>
      </c>
      <c r="S148" s="263"/>
      <c r="T148" s="264">
        <f t="shared" si="8"/>
        <v>0</v>
      </c>
      <c r="U148" s="437">
        <v>90</v>
      </c>
      <c r="V148" s="438">
        <v>420.56074766355141</v>
      </c>
      <c r="W148" s="439">
        <v>3.3</v>
      </c>
      <c r="X148" s="440">
        <v>2160</v>
      </c>
      <c r="Y148" s="262">
        <f t="shared" si="9"/>
        <v>0</v>
      </c>
    </row>
    <row r="149" spans="1:25" ht="16.5">
      <c r="A149" s="445" t="s">
        <v>300</v>
      </c>
      <c r="B149" s="434" t="s">
        <v>340</v>
      </c>
      <c r="C149" s="435">
        <v>36</v>
      </c>
      <c r="D149" s="435">
        <v>17</v>
      </c>
      <c r="E149" s="435">
        <v>34</v>
      </c>
      <c r="F149" s="434" t="s">
        <v>25</v>
      </c>
      <c r="G149" s="434" t="s">
        <v>11</v>
      </c>
      <c r="H149" s="434" t="s">
        <v>7</v>
      </c>
      <c r="I149" s="434" t="s">
        <v>10</v>
      </c>
      <c r="J149" s="434" t="s">
        <v>25</v>
      </c>
      <c r="K149" s="435">
        <v>1</v>
      </c>
      <c r="L149" s="435"/>
      <c r="M149" s="434" t="s">
        <v>25</v>
      </c>
      <c r="N149" s="436">
        <v>2.12</v>
      </c>
      <c r="O149" s="436">
        <v>2.0699999999999998</v>
      </c>
      <c r="P149" s="436">
        <v>2.0099999999999998</v>
      </c>
      <c r="Q149" s="436">
        <v>1.96</v>
      </c>
      <c r="R149" s="436">
        <v>1.91</v>
      </c>
      <c r="S149" s="263"/>
      <c r="T149" s="264">
        <f t="shared" si="8"/>
        <v>0</v>
      </c>
      <c r="U149" s="437">
        <v>342</v>
      </c>
      <c r="V149" s="438">
        <v>592.51559251559252</v>
      </c>
      <c r="W149" s="439">
        <v>6.2</v>
      </c>
      <c r="X149" s="440">
        <v>20808</v>
      </c>
      <c r="Y149" s="262">
        <f t="shared" si="9"/>
        <v>0</v>
      </c>
    </row>
    <row r="150" spans="1:25" ht="16.5">
      <c r="A150" s="445" t="s">
        <v>25</v>
      </c>
      <c r="B150" s="434" t="s">
        <v>404</v>
      </c>
      <c r="C150" s="435">
        <v>36</v>
      </c>
      <c r="D150" s="435">
        <v>21</v>
      </c>
      <c r="E150" s="435">
        <v>17</v>
      </c>
      <c r="F150" s="434" t="s">
        <v>25</v>
      </c>
      <c r="G150" s="434" t="s">
        <v>11</v>
      </c>
      <c r="H150" s="434" t="s">
        <v>7</v>
      </c>
      <c r="I150" s="434" t="s">
        <v>10</v>
      </c>
      <c r="J150" s="434" t="s">
        <v>25</v>
      </c>
      <c r="K150" s="435">
        <v>1</v>
      </c>
      <c r="L150" s="435"/>
      <c r="M150" s="434" t="s">
        <v>25</v>
      </c>
      <c r="N150" s="436">
        <v>4.0999999999999996</v>
      </c>
      <c r="O150" s="436">
        <v>4</v>
      </c>
      <c r="P150" s="436">
        <v>3.89</v>
      </c>
      <c r="Q150" s="436">
        <v>3.79</v>
      </c>
      <c r="R150" s="436">
        <v>3.69</v>
      </c>
      <c r="S150" s="263"/>
      <c r="T150" s="264">
        <f t="shared" si="8"/>
        <v>0</v>
      </c>
      <c r="U150" s="437">
        <v>512</v>
      </c>
      <c r="V150" s="438">
        <v>1103.2105149752208</v>
      </c>
      <c r="W150" s="439">
        <v>0</v>
      </c>
      <c r="X150" s="440">
        <v>12852</v>
      </c>
      <c r="Y150" s="262">
        <f t="shared" si="9"/>
        <v>0</v>
      </c>
    </row>
    <row r="151" spans="1:25" ht="16.5">
      <c r="A151" s="445" t="s">
        <v>25</v>
      </c>
      <c r="B151" s="434" t="s">
        <v>405</v>
      </c>
      <c r="C151" s="435">
        <v>37</v>
      </c>
      <c r="D151" s="435">
        <v>35</v>
      </c>
      <c r="E151" s="435">
        <v>35</v>
      </c>
      <c r="F151" s="434" t="s">
        <v>25</v>
      </c>
      <c r="G151" s="434" t="s">
        <v>11</v>
      </c>
      <c r="H151" s="434" t="s">
        <v>7</v>
      </c>
      <c r="I151" s="434" t="s">
        <v>10</v>
      </c>
      <c r="J151" s="434" t="s">
        <v>25</v>
      </c>
      <c r="K151" s="435">
        <v>1</v>
      </c>
      <c r="L151" s="435"/>
      <c r="M151" s="434" t="s">
        <v>25</v>
      </c>
      <c r="N151" s="436">
        <v>4.8</v>
      </c>
      <c r="O151" s="436">
        <v>4.68</v>
      </c>
      <c r="P151" s="436">
        <v>4.5599999999999996</v>
      </c>
      <c r="Q151" s="436">
        <v>4.4400000000000004</v>
      </c>
      <c r="R151" s="436">
        <v>4.32</v>
      </c>
      <c r="S151" s="263"/>
      <c r="T151" s="264">
        <f t="shared" si="8"/>
        <v>0</v>
      </c>
      <c r="U151" s="437">
        <v>600</v>
      </c>
      <c r="V151" s="438">
        <v>567.16135740618199</v>
      </c>
      <c r="W151" s="439">
        <v>0</v>
      </c>
      <c r="X151" s="440">
        <v>45325</v>
      </c>
      <c r="Y151" s="262">
        <f t="shared" si="9"/>
        <v>0</v>
      </c>
    </row>
    <row r="152" spans="1:25" ht="16.5">
      <c r="A152" s="445" t="s">
        <v>300</v>
      </c>
      <c r="B152" s="434" t="s">
        <v>20</v>
      </c>
      <c r="C152" s="435">
        <v>38</v>
      </c>
      <c r="D152" s="435">
        <v>21</v>
      </c>
      <c r="E152" s="435">
        <v>17</v>
      </c>
      <c r="F152" s="434" t="s">
        <v>25</v>
      </c>
      <c r="G152" s="434" t="s">
        <v>3</v>
      </c>
      <c r="H152" s="434" t="s">
        <v>7</v>
      </c>
      <c r="I152" s="434" t="s">
        <v>1</v>
      </c>
      <c r="J152" s="434" t="s">
        <v>25</v>
      </c>
      <c r="K152" s="435">
        <v>1</v>
      </c>
      <c r="L152" s="435"/>
      <c r="M152" s="434" t="s">
        <v>25</v>
      </c>
      <c r="N152" s="436">
        <v>3.1</v>
      </c>
      <c r="O152" s="436">
        <v>3.02</v>
      </c>
      <c r="P152" s="436">
        <v>2.94</v>
      </c>
      <c r="Q152" s="436">
        <v>2.87</v>
      </c>
      <c r="R152" s="436">
        <v>2.79</v>
      </c>
      <c r="S152" s="263"/>
      <c r="T152" s="264">
        <f t="shared" si="8"/>
        <v>0</v>
      </c>
      <c r="U152" s="437">
        <v>200</v>
      </c>
      <c r="V152" s="438">
        <v>416.92724619553888</v>
      </c>
      <c r="W152" s="439">
        <v>3.3</v>
      </c>
      <c r="X152" s="440">
        <v>13566</v>
      </c>
      <c r="Y152" s="262">
        <f t="shared" si="9"/>
        <v>0</v>
      </c>
    </row>
    <row r="153" spans="1:25" ht="16.5">
      <c r="A153" s="445" t="s">
        <v>300</v>
      </c>
      <c r="B153" s="434" t="s">
        <v>21</v>
      </c>
      <c r="C153" s="435">
        <v>38</v>
      </c>
      <c r="D153" s="435">
        <v>24</v>
      </c>
      <c r="E153" s="435">
        <v>17</v>
      </c>
      <c r="F153" s="434" t="s">
        <v>25</v>
      </c>
      <c r="G153" s="434" t="s">
        <v>11</v>
      </c>
      <c r="H153" s="434" t="s">
        <v>7</v>
      </c>
      <c r="I153" s="434" t="s">
        <v>1</v>
      </c>
      <c r="J153" s="434" t="s">
        <v>25</v>
      </c>
      <c r="K153" s="435">
        <v>1</v>
      </c>
      <c r="L153" s="435"/>
      <c r="M153" s="434" t="s">
        <v>25</v>
      </c>
      <c r="N153" s="436">
        <v>2.76</v>
      </c>
      <c r="O153" s="436">
        <v>2.69</v>
      </c>
      <c r="P153" s="436">
        <v>2.62</v>
      </c>
      <c r="Q153" s="436">
        <v>2.5499999999999998</v>
      </c>
      <c r="R153" s="436">
        <v>2.48</v>
      </c>
      <c r="S153" s="263"/>
      <c r="T153" s="264">
        <f t="shared" si="8"/>
        <v>0</v>
      </c>
      <c r="U153" s="437">
        <v>354</v>
      </c>
      <c r="V153" s="438">
        <v>653.3776301218162</v>
      </c>
      <c r="W153" s="439">
        <v>3.3</v>
      </c>
      <c r="X153" s="440">
        <v>15504</v>
      </c>
      <c r="Y153" s="262">
        <f t="shared" si="9"/>
        <v>0</v>
      </c>
    </row>
    <row r="154" spans="1:25" ht="16.5">
      <c r="A154" s="445" t="s">
        <v>25</v>
      </c>
      <c r="B154" s="434" t="s">
        <v>406</v>
      </c>
      <c r="C154" s="435">
        <v>38</v>
      </c>
      <c r="D154" s="435">
        <v>24</v>
      </c>
      <c r="E154" s="435">
        <v>21</v>
      </c>
      <c r="F154" s="434" t="s">
        <v>25</v>
      </c>
      <c r="G154" s="434" t="s">
        <v>11</v>
      </c>
      <c r="H154" s="434" t="s">
        <v>7</v>
      </c>
      <c r="I154" s="434" t="s">
        <v>1</v>
      </c>
      <c r="J154" s="434" t="s">
        <v>25</v>
      </c>
      <c r="K154" s="435">
        <v>1</v>
      </c>
      <c r="L154" s="435"/>
      <c r="M154" s="434" t="s">
        <v>25</v>
      </c>
      <c r="N154" s="436">
        <v>2.5299999999999998</v>
      </c>
      <c r="O154" s="436">
        <v>2.4700000000000002</v>
      </c>
      <c r="P154" s="436">
        <v>2.4</v>
      </c>
      <c r="Q154" s="436">
        <v>2.34</v>
      </c>
      <c r="R154" s="436">
        <v>2.2799999999999998</v>
      </c>
      <c r="S154" s="263"/>
      <c r="T154" s="264">
        <f t="shared" si="8"/>
        <v>0</v>
      </c>
      <c r="U154" s="437">
        <v>316</v>
      </c>
      <c r="V154" s="438">
        <v>532.52443545669018</v>
      </c>
      <c r="W154" s="439">
        <v>0</v>
      </c>
      <c r="X154" s="440">
        <v>19152</v>
      </c>
      <c r="Y154" s="262">
        <f t="shared" si="9"/>
        <v>0</v>
      </c>
    </row>
    <row r="155" spans="1:25" ht="16.5">
      <c r="A155" s="445" t="s">
        <v>25</v>
      </c>
      <c r="B155" s="434" t="s">
        <v>314</v>
      </c>
      <c r="C155" s="435">
        <v>38</v>
      </c>
      <c r="D155" s="435">
        <v>28</v>
      </c>
      <c r="E155" s="435">
        <v>10</v>
      </c>
      <c r="F155" s="434" t="s">
        <v>25</v>
      </c>
      <c r="G155" s="434" t="s">
        <v>3</v>
      </c>
      <c r="H155" s="434" t="s">
        <v>7</v>
      </c>
      <c r="I155" s="434" t="s">
        <v>308</v>
      </c>
      <c r="J155" s="434" t="s">
        <v>25</v>
      </c>
      <c r="K155" s="435">
        <v>1</v>
      </c>
      <c r="L155" s="435"/>
      <c r="M155" s="434" t="s">
        <v>25</v>
      </c>
      <c r="N155" s="436">
        <v>5.5</v>
      </c>
      <c r="O155" s="436">
        <v>5.36</v>
      </c>
      <c r="P155" s="436">
        <v>5.22</v>
      </c>
      <c r="Q155" s="436">
        <v>5.09</v>
      </c>
      <c r="R155" s="436">
        <v>4.95</v>
      </c>
      <c r="S155" s="263"/>
      <c r="T155" s="264">
        <f t="shared" si="8"/>
        <v>0</v>
      </c>
      <c r="U155" s="441"/>
      <c r="V155" s="441"/>
      <c r="W155" s="439">
        <v>0</v>
      </c>
      <c r="X155" s="440">
        <v>10640</v>
      </c>
      <c r="Y155" s="262">
        <f t="shared" si="9"/>
        <v>0</v>
      </c>
    </row>
    <row r="156" spans="1:25" ht="16.5">
      <c r="A156" s="445" t="s">
        <v>25</v>
      </c>
      <c r="B156" s="434" t="s">
        <v>315</v>
      </c>
      <c r="C156" s="435">
        <v>38</v>
      </c>
      <c r="D156" s="435">
        <v>28</v>
      </c>
      <c r="E156" s="435">
        <v>10</v>
      </c>
      <c r="F156" s="434" t="s">
        <v>25</v>
      </c>
      <c r="G156" s="434" t="s">
        <v>3</v>
      </c>
      <c r="H156" s="434" t="s">
        <v>7</v>
      </c>
      <c r="I156" s="434" t="s">
        <v>1</v>
      </c>
      <c r="J156" s="434" t="s">
        <v>25</v>
      </c>
      <c r="K156" s="435">
        <v>1</v>
      </c>
      <c r="L156" s="435"/>
      <c r="M156" s="434" t="s">
        <v>25</v>
      </c>
      <c r="N156" s="436">
        <v>2</v>
      </c>
      <c r="O156" s="436">
        <v>1.95</v>
      </c>
      <c r="P156" s="436">
        <v>1.9</v>
      </c>
      <c r="Q156" s="436">
        <v>1.85</v>
      </c>
      <c r="R156" s="436">
        <v>1.8</v>
      </c>
      <c r="S156" s="263"/>
      <c r="T156" s="264">
        <f t="shared" si="8"/>
        <v>0</v>
      </c>
      <c r="U156" s="441"/>
      <c r="V156" s="441"/>
      <c r="W156" s="439">
        <v>0</v>
      </c>
      <c r="X156" s="440">
        <v>10640</v>
      </c>
      <c r="Y156" s="262">
        <f t="shared" si="9"/>
        <v>0</v>
      </c>
    </row>
    <row r="157" spans="1:25" ht="16.5">
      <c r="A157" s="445" t="s">
        <v>25</v>
      </c>
      <c r="B157" s="434" t="s">
        <v>316</v>
      </c>
      <c r="C157" s="435">
        <v>38</v>
      </c>
      <c r="D157" s="435">
        <v>28</v>
      </c>
      <c r="E157" s="435">
        <v>10</v>
      </c>
      <c r="F157" s="434" t="s">
        <v>25</v>
      </c>
      <c r="G157" s="434" t="s">
        <v>3</v>
      </c>
      <c r="H157" s="434" t="s">
        <v>7</v>
      </c>
      <c r="I157" s="434" t="s">
        <v>1</v>
      </c>
      <c r="J157" s="434" t="s">
        <v>25</v>
      </c>
      <c r="K157" s="435">
        <v>1</v>
      </c>
      <c r="L157" s="435"/>
      <c r="M157" s="434" t="s">
        <v>25</v>
      </c>
      <c r="N157" s="436">
        <v>3.5</v>
      </c>
      <c r="O157" s="436">
        <v>3.41</v>
      </c>
      <c r="P157" s="436">
        <v>3.32</v>
      </c>
      <c r="Q157" s="436">
        <v>3.24</v>
      </c>
      <c r="R157" s="436">
        <v>3.15</v>
      </c>
      <c r="S157" s="263"/>
      <c r="T157" s="264">
        <f t="shared" si="8"/>
        <v>0</v>
      </c>
      <c r="U157" s="437">
        <v>192</v>
      </c>
      <c r="V157" s="438">
        <v>359.34868051656372</v>
      </c>
      <c r="W157" s="439">
        <v>0</v>
      </c>
      <c r="X157" s="440">
        <v>10640</v>
      </c>
      <c r="Y157" s="262">
        <f t="shared" si="9"/>
        <v>0</v>
      </c>
    </row>
    <row r="158" spans="1:25" ht="16.5">
      <c r="A158" s="445" t="s">
        <v>300</v>
      </c>
      <c r="B158" s="434" t="s">
        <v>407</v>
      </c>
      <c r="C158" s="435">
        <v>38</v>
      </c>
      <c r="D158" s="435">
        <v>28</v>
      </c>
      <c r="E158" s="435">
        <v>24</v>
      </c>
      <c r="F158" s="434" t="s">
        <v>25</v>
      </c>
      <c r="G158" s="434" t="s">
        <v>11</v>
      </c>
      <c r="H158" s="434" t="s">
        <v>7</v>
      </c>
      <c r="I158" s="434" t="s">
        <v>10</v>
      </c>
      <c r="J158" s="434" t="s">
        <v>25</v>
      </c>
      <c r="K158" s="435">
        <v>1</v>
      </c>
      <c r="L158" s="435"/>
      <c r="M158" s="434" t="s">
        <v>25</v>
      </c>
      <c r="N158" s="436">
        <v>5.31</v>
      </c>
      <c r="O158" s="436">
        <v>5.18</v>
      </c>
      <c r="P158" s="436">
        <v>5.04</v>
      </c>
      <c r="Q158" s="436">
        <v>4.91</v>
      </c>
      <c r="R158" s="436">
        <v>4.78</v>
      </c>
      <c r="S158" s="263"/>
      <c r="T158" s="264">
        <f t="shared" si="8"/>
        <v>0</v>
      </c>
      <c r="U158" s="437">
        <v>664</v>
      </c>
      <c r="V158" s="438">
        <v>914.47459027682146</v>
      </c>
      <c r="W158" s="439">
        <v>7</v>
      </c>
      <c r="X158" s="440">
        <v>25536</v>
      </c>
      <c r="Y158" s="262">
        <f t="shared" si="9"/>
        <v>0</v>
      </c>
    </row>
    <row r="159" spans="1:25" ht="16.5">
      <c r="A159" s="445" t="s">
        <v>300</v>
      </c>
      <c r="B159" s="434" t="s">
        <v>115</v>
      </c>
      <c r="C159" s="435">
        <v>38</v>
      </c>
      <c r="D159" s="435">
        <v>28</v>
      </c>
      <c r="E159" s="435">
        <v>29</v>
      </c>
      <c r="F159" s="434" t="s">
        <v>25</v>
      </c>
      <c r="G159" s="434" t="s">
        <v>11</v>
      </c>
      <c r="H159" s="434" t="s">
        <v>7</v>
      </c>
      <c r="I159" s="434" t="s">
        <v>1</v>
      </c>
      <c r="J159" s="434" t="s">
        <v>25</v>
      </c>
      <c r="K159" s="435">
        <v>1</v>
      </c>
      <c r="L159" s="435"/>
      <c r="M159" s="434" t="s">
        <v>25</v>
      </c>
      <c r="N159" s="436">
        <v>4</v>
      </c>
      <c r="O159" s="436">
        <v>3.9</v>
      </c>
      <c r="P159" s="436">
        <v>3.8</v>
      </c>
      <c r="Q159" s="436">
        <v>3.7</v>
      </c>
      <c r="R159" s="436">
        <v>3.6</v>
      </c>
      <c r="S159" s="263"/>
      <c r="T159" s="264">
        <f t="shared" si="8"/>
        <v>0</v>
      </c>
      <c r="U159" s="437">
        <v>498</v>
      </c>
      <c r="V159" s="438">
        <v>626.73043040523532</v>
      </c>
      <c r="W159" s="439">
        <v>3.3</v>
      </c>
      <c r="X159" s="440">
        <v>30856</v>
      </c>
      <c r="Y159" s="262">
        <f t="shared" ref="Y159:Y162" si="10">(C159*D159*E159)-X159</f>
        <v>0</v>
      </c>
    </row>
    <row r="160" spans="1:25" ht="16.5">
      <c r="A160" s="445" t="s">
        <v>25</v>
      </c>
      <c r="B160" s="434" t="s">
        <v>408</v>
      </c>
      <c r="C160" s="435">
        <v>38</v>
      </c>
      <c r="D160" s="435">
        <v>30</v>
      </c>
      <c r="E160" s="435">
        <v>35</v>
      </c>
      <c r="F160" s="434" t="s">
        <v>25</v>
      </c>
      <c r="G160" s="434" t="s">
        <v>11</v>
      </c>
      <c r="H160" s="434" t="s">
        <v>7</v>
      </c>
      <c r="I160" s="434" t="s">
        <v>10</v>
      </c>
      <c r="J160" s="434" t="s">
        <v>25</v>
      </c>
      <c r="K160" s="435">
        <v>1</v>
      </c>
      <c r="L160" s="435"/>
      <c r="M160" s="434" t="s">
        <v>25</v>
      </c>
      <c r="N160" s="436">
        <v>4.95</v>
      </c>
      <c r="O160" s="436">
        <v>4.83</v>
      </c>
      <c r="P160" s="436">
        <v>4.7</v>
      </c>
      <c r="Q160" s="436">
        <v>4.58</v>
      </c>
      <c r="R160" s="436">
        <v>4.45</v>
      </c>
      <c r="S160" s="263"/>
      <c r="T160" s="264">
        <f t="shared" si="8"/>
        <v>0</v>
      </c>
      <c r="U160" s="437">
        <v>826</v>
      </c>
      <c r="V160" s="438">
        <v>887.59939823769616</v>
      </c>
      <c r="W160" s="439">
        <v>0</v>
      </c>
      <c r="X160" s="440">
        <v>39900</v>
      </c>
      <c r="Y160" s="262">
        <f t="shared" si="10"/>
        <v>0</v>
      </c>
    </row>
    <row r="161" spans="1:25" ht="16.5">
      <c r="A161" s="445" t="s">
        <v>300</v>
      </c>
      <c r="B161" s="434" t="s">
        <v>116</v>
      </c>
      <c r="C161" s="435">
        <v>38</v>
      </c>
      <c r="D161" s="435">
        <v>32</v>
      </c>
      <c r="E161" s="435">
        <v>3</v>
      </c>
      <c r="F161" s="434" t="s">
        <v>25</v>
      </c>
      <c r="G161" s="434" t="s">
        <v>3</v>
      </c>
      <c r="H161" s="434" t="s">
        <v>2</v>
      </c>
      <c r="I161" s="434" t="s">
        <v>1</v>
      </c>
      <c r="J161" s="434" t="s">
        <v>25</v>
      </c>
      <c r="K161" s="435">
        <v>1</v>
      </c>
      <c r="L161" s="435"/>
      <c r="M161" s="434" t="s">
        <v>25</v>
      </c>
      <c r="N161" s="436">
        <v>5</v>
      </c>
      <c r="O161" s="436">
        <v>4.88</v>
      </c>
      <c r="P161" s="436">
        <v>4.75</v>
      </c>
      <c r="Q161" s="436">
        <v>4.63</v>
      </c>
      <c r="R161" s="436">
        <v>4.5</v>
      </c>
      <c r="S161" s="263"/>
      <c r="T161" s="264">
        <f t="shared" si="8"/>
        <v>0</v>
      </c>
      <c r="U161" s="437">
        <v>180</v>
      </c>
      <c r="V161" s="438">
        <v>344.82758620689651</v>
      </c>
      <c r="W161" s="439">
        <v>3.3</v>
      </c>
      <c r="X161" s="440">
        <v>3648</v>
      </c>
      <c r="Y161" s="262">
        <f t="shared" si="10"/>
        <v>0</v>
      </c>
    </row>
    <row r="162" spans="1:25" ht="16.5">
      <c r="A162" s="445" t="s">
        <v>25</v>
      </c>
      <c r="B162" s="434" t="s">
        <v>460</v>
      </c>
      <c r="C162" s="435">
        <v>39</v>
      </c>
      <c r="D162" s="435">
        <v>30</v>
      </c>
      <c r="E162" s="435">
        <v>27</v>
      </c>
      <c r="F162" s="434" t="s">
        <v>25</v>
      </c>
      <c r="G162" s="434" t="s">
        <v>11</v>
      </c>
      <c r="H162" s="434" t="s">
        <v>7</v>
      </c>
      <c r="I162" s="434" t="s">
        <v>1</v>
      </c>
      <c r="J162" s="434" t="s">
        <v>25</v>
      </c>
      <c r="K162" s="435">
        <v>1</v>
      </c>
      <c r="L162" s="435"/>
      <c r="M162" s="434" t="s">
        <v>25</v>
      </c>
      <c r="N162" s="436">
        <v>4.95</v>
      </c>
      <c r="O162" s="436">
        <v>4.83</v>
      </c>
      <c r="P162" s="436">
        <v>4.7</v>
      </c>
      <c r="Q162" s="436">
        <v>4.58</v>
      </c>
      <c r="R162" s="436">
        <v>4.45</v>
      </c>
      <c r="S162" s="263"/>
      <c r="T162" s="264">
        <f t="shared" si="8"/>
        <v>0</v>
      </c>
      <c r="U162" s="437">
        <v>550</v>
      </c>
      <c r="V162" s="438">
        <v>663.12997347480109</v>
      </c>
      <c r="W162" s="439">
        <v>0</v>
      </c>
      <c r="X162" s="440">
        <v>31590</v>
      </c>
      <c r="Y162" s="262">
        <f t="shared" si="10"/>
        <v>0</v>
      </c>
    </row>
    <row r="163" spans="1:25" ht="16.5">
      <c r="A163" s="445" t="s">
        <v>25</v>
      </c>
      <c r="B163" s="434" t="s">
        <v>321</v>
      </c>
      <c r="C163" s="435">
        <v>40</v>
      </c>
      <c r="D163" s="435">
        <v>15</v>
      </c>
      <c r="E163" s="435">
        <v>4</v>
      </c>
      <c r="F163" s="434" t="s">
        <v>25</v>
      </c>
      <c r="G163" s="434" t="s">
        <v>3</v>
      </c>
      <c r="H163" s="434" t="s">
        <v>2</v>
      </c>
      <c r="I163" s="434" t="s">
        <v>1</v>
      </c>
      <c r="J163" s="434" t="s">
        <v>25</v>
      </c>
      <c r="K163" s="435">
        <v>1</v>
      </c>
      <c r="L163" s="435"/>
      <c r="M163" s="434" t="s">
        <v>25</v>
      </c>
      <c r="N163" s="436">
        <v>2.16</v>
      </c>
      <c r="O163" s="436">
        <v>2.11</v>
      </c>
      <c r="P163" s="436">
        <v>2.0499999999999998</v>
      </c>
      <c r="Q163" s="436">
        <v>2</v>
      </c>
      <c r="R163" s="436">
        <v>1.94</v>
      </c>
      <c r="S163" s="263"/>
      <c r="T163" s="264">
        <f t="shared" ref="T163:T224" si="11">(CHOOSE(((($L163&gt;=(0))+($L163&gt;=($O$6))+($L163&gt;=($P$6))+($L163&gt;=($Q$6))+($L163&gt;=($R$6)))),N163,O163,P163,Q163,R163))*L163</f>
        <v>0</v>
      </c>
      <c r="U163" s="437">
        <v>75</v>
      </c>
      <c r="V163" s="438">
        <v>326.08695652173913</v>
      </c>
      <c r="W163" s="439">
        <v>0</v>
      </c>
      <c r="X163" s="440">
        <v>2400</v>
      </c>
      <c r="Y163" s="262">
        <f t="shared" ref="Y163:Y224" si="12">(C163*D163*E163)-X163</f>
        <v>0</v>
      </c>
    </row>
    <row r="164" spans="1:25" ht="16.5">
      <c r="A164" s="445" t="s">
        <v>300</v>
      </c>
      <c r="B164" s="434" t="s">
        <v>262</v>
      </c>
      <c r="C164" s="435">
        <v>40</v>
      </c>
      <c r="D164" s="435">
        <v>28</v>
      </c>
      <c r="E164" s="435">
        <v>7</v>
      </c>
      <c r="F164" s="434" t="s">
        <v>25</v>
      </c>
      <c r="G164" s="434" t="s">
        <v>3</v>
      </c>
      <c r="H164" s="434" t="s">
        <v>7</v>
      </c>
      <c r="I164" s="434" t="s">
        <v>1</v>
      </c>
      <c r="J164" s="434" t="s">
        <v>25</v>
      </c>
      <c r="K164" s="435">
        <v>1</v>
      </c>
      <c r="L164" s="435"/>
      <c r="M164" s="434" t="s">
        <v>25</v>
      </c>
      <c r="N164" s="436">
        <v>3.64</v>
      </c>
      <c r="O164" s="436">
        <v>3.55</v>
      </c>
      <c r="P164" s="436">
        <v>3.46</v>
      </c>
      <c r="Q164" s="436">
        <v>3.37</v>
      </c>
      <c r="R164" s="436">
        <v>3.28</v>
      </c>
      <c r="S164" s="263"/>
      <c r="T164" s="264">
        <f t="shared" si="11"/>
        <v>0</v>
      </c>
      <c r="U164" s="437">
        <v>220</v>
      </c>
      <c r="V164" s="438">
        <v>433.41213553979509</v>
      </c>
      <c r="W164" s="439">
        <v>3.3</v>
      </c>
      <c r="X164" s="440">
        <v>7840</v>
      </c>
      <c r="Y164" s="262">
        <f t="shared" si="12"/>
        <v>0</v>
      </c>
    </row>
    <row r="165" spans="1:25" ht="16.5">
      <c r="A165" s="445" t="s">
        <v>300</v>
      </c>
      <c r="B165" s="434" t="s">
        <v>117</v>
      </c>
      <c r="C165" s="435">
        <v>40</v>
      </c>
      <c r="D165" s="435">
        <v>28</v>
      </c>
      <c r="E165" s="435">
        <v>7</v>
      </c>
      <c r="F165" s="434" t="s">
        <v>25</v>
      </c>
      <c r="G165" s="434" t="s">
        <v>3</v>
      </c>
      <c r="H165" s="434" t="s">
        <v>2</v>
      </c>
      <c r="I165" s="434" t="s">
        <v>1</v>
      </c>
      <c r="J165" s="434" t="s">
        <v>25</v>
      </c>
      <c r="K165" s="435">
        <v>1</v>
      </c>
      <c r="L165" s="435"/>
      <c r="M165" s="434" t="s">
        <v>25</v>
      </c>
      <c r="N165" s="436">
        <v>4.18</v>
      </c>
      <c r="O165" s="436">
        <v>4.08</v>
      </c>
      <c r="P165" s="436">
        <v>3.97</v>
      </c>
      <c r="Q165" s="436">
        <v>3.87</v>
      </c>
      <c r="R165" s="436">
        <v>3.76</v>
      </c>
      <c r="S165" s="263"/>
      <c r="T165" s="264">
        <f t="shared" si="11"/>
        <v>0</v>
      </c>
      <c r="U165" s="437">
        <v>194</v>
      </c>
      <c r="V165" s="438">
        <v>382.19070133963749</v>
      </c>
      <c r="W165" s="439">
        <v>3.3</v>
      </c>
      <c r="X165" s="440">
        <v>7840</v>
      </c>
      <c r="Y165" s="262">
        <f t="shared" si="12"/>
        <v>0</v>
      </c>
    </row>
    <row r="166" spans="1:25" ht="16.5">
      <c r="A166" s="445" t="s">
        <v>300</v>
      </c>
      <c r="B166" s="434" t="s">
        <v>22</v>
      </c>
      <c r="C166" s="435">
        <v>40</v>
      </c>
      <c r="D166" s="435">
        <v>30</v>
      </c>
      <c r="E166" s="435">
        <v>10</v>
      </c>
      <c r="F166" s="434" t="s">
        <v>25</v>
      </c>
      <c r="G166" s="434" t="s">
        <v>3</v>
      </c>
      <c r="H166" s="434" t="s">
        <v>7</v>
      </c>
      <c r="I166" s="434" t="s">
        <v>1</v>
      </c>
      <c r="J166" s="434" t="s">
        <v>25</v>
      </c>
      <c r="K166" s="435">
        <v>1</v>
      </c>
      <c r="L166" s="435"/>
      <c r="M166" s="434" t="s">
        <v>25</v>
      </c>
      <c r="N166" s="436">
        <v>3.72</v>
      </c>
      <c r="O166" s="436">
        <v>3.63</v>
      </c>
      <c r="P166" s="436">
        <v>3.53</v>
      </c>
      <c r="Q166" s="436">
        <v>3.44</v>
      </c>
      <c r="R166" s="436">
        <v>3.35</v>
      </c>
      <c r="S166" s="263"/>
      <c r="T166" s="264">
        <f t="shared" si="11"/>
        <v>0</v>
      </c>
      <c r="U166" s="437">
        <v>235</v>
      </c>
      <c r="V166" s="438">
        <v>395.29015979814966</v>
      </c>
      <c r="W166" s="439">
        <v>3.3</v>
      </c>
      <c r="X166" s="440">
        <v>12000</v>
      </c>
      <c r="Y166" s="262">
        <f t="shared" si="12"/>
        <v>0</v>
      </c>
    </row>
    <row r="167" spans="1:25" ht="16.5">
      <c r="A167" s="445" t="s">
        <v>300</v>
      </c>
      <c r="B167" s="434" t="s">
        <v>305</v>
      </c>
      <c r="C167" s="435">
        <v>40</v>
      </c>
      <c r="D167" s="435">
        <v>30</v>
      </c>
      <c r="E167" s="435">
        <v>30</v>
      </c>
      <c r="F167" s="434" t="s">
        <v>25</v>
      </c>
      <c r="G167" s="434" t="s">
        <v>3</v>
      </c>
      <c r="H167" s="434" t="s">
        <v>7</v>
      </c>
      <c r="I167" s="434" t="s">
        <v>1</v>
      </c>
      <c r="J167" s="434" t="s">
        <v>25</v>
      </c>
      <c r="K167" s="435">
        <v>1</v>
      </c>
      <c r="L167" s="435"/>
      <c r="M167" s="434" t="s">
        <v>25</v>
      </c>
      <c r="N167" s="436">
        <v>9.65</v>
      </c>
      <c r="O167" s="436">
        <v>9.41</v>
      </c>
      <c r="P167" s="436">
        <v>9.17</v>
      </c>
      <c r="Q167" s="436">
        <v>8.93</v>
      </c>
      <c r="R167" s="436">
        <v>8.68</v>
      </c>
      <c r="S167" s="263"/>
      <c r="T167" s="264">
        <f t="shared" si="11"/>
        <v>0</v>
      </c>
      <c r="U167" s="437">
        <v>530</v>
      </c>
      <c r="V167" s="438">
        <v>599.20859242509891</v>
      </c>
      <c r="W167" s="439">
        <v>0</v>
      </c>
      <c r="X167" s="440">
        <v>36000</v>
      </c>
      <c r="Y167" s="262">
        <f t="shared" si="12"/>
        <v>0</v>
      </c>
    </row>
    <row r="168" spans="1:25" ht="16.5">
      <c r="A168" s="445" t="s">
        <v>25</v>
      </c>
      <c r="B168" s="434" t="s">
        <v>309</v>
      </c>
      <c r="C168" s="435">
        <v>40</v>
      </c>
      <c r="D168" s="435">
        <v>30</v>
      </c>
      <c r="E168" s="435">
        <v>30</v>
      </c>
      <c r="F168" s="434" t="s">
        <v>25</v>
      </c>
      <c r="G168" s="434" t="s">
        <v>3</v>
      </c>
      <c r="H168" s="434" t="s">
        <v>7</v>
      </c>
      <c r="I168" s="434" t="s">
        <v>1</v>
      </c>
      <c r="J168" s="434" t="s">
        <v>25</v>
      </c>
      <c r="K168" s="435">
        <v>1</v>
      </c>
      <c r="L168" s="435"/>
      <c r="M168" s="434" t="s">
        <v>25</v>
      </c>
      <c r="N168" s="436">
        <v>4.2</v>
      </c>
      <c r="O168" s="436">
        <v>4.0999999999999996</v>
      </c>
      <c r="P168" s="436">
        <v>3.99</v>
      </c>
      <c r="Q168" s="436">
        <v>3.89</v>
      </c>
      <c r="R168" s="436">
        <v>3.78</v>
      </c>
      <c r="S168" s="263"/>
      <c r="T168" s="264">
        <f t="shared" si="11"/>
        <v>0</v>
      </c>
      <c r="U168" s="437">
        <v>210</v>
      </c>
      <c r="V168" s="438">
        <v>237.42227247032224</v>
      </c>
      <c r="W168" s="439">
        <v>0</v>
      </c>
      <c r="X168" s="440">
        <v>36000</v>
      </c>
      <c r="Y168" s="262">
        <f t="shared" si="12"/>
        <v>0</v>
      </c>
    </row>
    <row r="169" spans="1:25" ht="16.5">
      <c r="A169" s="445" t="s">
        <v>300</v>
      </c>
      <c r="B169" s="434" t="s">
        <v>118</v>
      </c>
      <c r="C169" s="435">
        <v>40</v>
      </c>
      <c r="D169" s="435">
        <v>30</v>
      </c>
      <c r="E169" s="435">
        <v>30</v>
      </c>
      <c r="F169" s="434" t="s">
        <v>25</v>
      </c>
      <c r="G169" s="434" t="s">
        <v>3</v>
      </c>
      <c r="H169" s="434" t="s">
        <v>7</v>
      </c>
      <c r="I169" s="434" t="s">
        <v>1</v>
      </c>
      <c r="J169" s="434" t="s">
        <v>25</v>
      </c>
      <c r="K169" s="435">
        <v>1</v>
      </c>
      <c r="L169" s="435"/>
      <c r="M169" s="434" t="s">
        <v>25</v>
      </c>
      <c r="N169" s="436">
        <v>5.45</v>
      </c>
      <c r="O169" s="436">
        <v>5.31</v>
      </c>
      <c r="P169" s="436">
        <v>5.18</v>
      </c>
      <c r="Q169" s="436">
        <v>5.04</v>
      </c>
      <c r="R169" s="436">
        <v>4.9000000000000004</v>
      </c>
      <c r="S169" s="263"/>
      <c r="T169" s="264">
        <f t="shared" si="11"/>
        <v>0</v>
      </c>
      <c r="U169" s="437">
        <v>320</v>
      </c>
      <c r="V169" s="438">
        <v>361.78631995477673</v>
      </c>
      <c r="W169" s="439">
        <v>3.3</v>
      </c>
      <c r="X169" s="440">
        <v>36000</v>
      </c>
      <c r="Y169" s="262">
        <f t="shared" si="12"/>
        <v>0</v>
      </c>
    </row>
    <row r="170" spans="1:25" ht="16.5">
      <c r="A170" s="445" t="s">
        <v>300</v>
      </c>
      <c r="B170" s="434" t="s">
        <v>119</v>
      </c>
      <c r="C170" s="435">
        <v>40</v>
      </c>
      <c r="D170" s="435">
        <v>30</v>
      </c>
      <c r="E170" s="435">
        <v>30</v>
      </c>
      <c r="F170" s="434" t="s">
        <v>25</v>
      </c>
      <c r="G170" s="434" t="s">
        <v>3</v>
      </c>
      <c r="H170" s="434" t="s">
        <v>7</v>
      </c>
      <c r="I170" s="434" t="s">
        <v>10</v>
      </c>
      <c r="J170" s="434" t="s">
        <v>25</v>
      </c>
      <c r="K170" s="435">
        <v>1</v>
      </c>
      <c r="L170" s="435"/>
      <c r="M170" s="434" t="s">
        <v>25</v>
      </c>
      <c r="N170" s="436">
        <v>9.1</v>
      </c>
      <c r="O170" s="436">
        <v>8.8699999999999992</v>
      </c>
      <c r="P170" s="436">
        <v>8.64</v>
      </c>
      <c r="Q170" s="436">
        <v>8.42</v>
      </c>
      <c r="R170" s="436">
        <v>8.19</v>
      </c>
      <c r="S170" s="263"/>
      <c r="T170" s="264">
        <f t="shared" si="11"/>
        <v>0</v>
      </c>
      <c r="U170" s="437">
        <v>596</v>
      </c>
      <c r="V170" s="438">
        <v>673.82702091577164</v>
      </c>
      <c r="W170" s="439">
        <v>6</v>
      </c>
      <c r="X170" s="440">
        <v>36000</v>
      </c>
      <c r="Y170" s="262">
        <f t="shared" si="12"/>
        <v>0</v>
      </c>
    </row>
    <row r="171" spans="1:25" ht="16.5">
      <c r="A171" s="445" t="s">
        <v>25</v>
      </c>
      <c r="B171" s="434" t="s">
        <v>409</v>
      </c>
      <c r="C171" s="435">
        <v>40</v>
      </c>
      <c r="D171" s="435">
        <v>37</v>
      </c>
      <c r="E171" s="435">
        <v>25</v>
      </c>
      <c r="F171" s="434" t="s">
        <v>25</v>
      </c>
      <c r="G171" s="434" t="s">
        <v>11</v>
      </c>
      <c r="H171" s="434" t="s">
        <v>7</v>
      </c>
      <c r="I171" s="434" t="s">
        <v>1</v>
      </c>
      <c r="J171" s="434" t="s">
        <v>25</v>
      </c>
      <c r="K171" s="435">
        <v>1</v>
      </c>
      <c r="L171" s="435"/>
      <c r="M171" s="434" t="s">
        <v>25</v>
      </c>
      <c r="N171" s="436">
        <v>5.0199999999999996</v>
      </c>
      <c r="O171" s="436">
        <v>4.8899999999999997</v>
      </c>
      <c r="P171" s="436">
        <v>4.7699999999999996</v>
      </c>
      <c r="Q171" s="436">
        <v>4.6399999999999997</v>
      </c>
      <c r="R171" s="436">
        <v>4.5199999999999996</v>
      </c>
      <c r="S171" s="263"/>
      <c r="T171" s="264">
        <f t="shared" si="11"/>
        <v>0</v>
      </c>
      <c r="U171" s="437">
        <v>628</v>
      </c>
      <c r="V171" s="438">
        <v>626.93421183987221</v>
      </c>
      <c r="W171" s="439">
        <v>0</v>
      </c>
      <c r="X171" s="440">
        <v>37000</v>
      </c>
      <c r="Y171" s="262">
        <f t="shared" si="12"/>
        <v>0</v>
      </c>
    </row>
    <row r="172" spans="1:25" ht="16.5">
      <c r="A172" s="445" t="s">
        <v>300</v>
      </c>
      <c r="B172" s="434" t="s">
        <v>410</v>
      </c>
      <c r="C172" s="435">
        <v>41</v>
      </c>
      <c r="D172" s="435">
        <v>24</v>
      </c>
      <c r="E172" s="435">
        <v>20</v>
      </c>
      <c r="F172" s="434" t="s">
        <v>25</v>
      </c>
      <c r="G172" s="434" t="s">
        <v>11</v>
      </c>
      <c r="H172" s="434" t="s">
        <v>7</v>
      </c>
      <c r="I172" s="434" t="s">
        <v>1</v>
      </c>
      <c r="J172" s="434" t="s">
        <v>25</v>
      </c>
      <c r="K172" s="435">
        <v>1</v>
      </c>
      <c r="L172" s="435"/>
      <c r="M172" s="434" t="s">
        <v>25</v>
      </c>
      <c r="N172" s="436">
        <v>2.8</v>
      </c>
      <c r="O172" s="436">
        <v>2.73</v>
      </c>
      <c r="P172" s="436">
        <v>2.66</v>
      </c>
      <c r="Q172" s="436">
        <v>2.59</v>
      </c>
      <c r="R172" s="436">
        <v>2.52</v>
      </c>
      <c r="S172" s="263"/>
      <c r="T172" s="264">
        <f t="shared" si="11"/>
        <v>0</v>
      </c>
      <c r="U172" s="437">
        <v>350</v>
      </c>
      <c r="V172" s="438">
        <v>576.13168724279831</v>
      </c>
      <c r="W172" s="439">
        <v>4</v>
      </c>
      <c r="X172" s="440">
        <v>19680</v>
      </c>
      <c r="Y172" s="262">
        <f t="shared" si="12"/>
        <v>0</v>
      </c>
    </row>
    <row r="173" spans="1:25" ht="16.5">
      <c r="A173" s="445" t="s">
        <v>300</v>
      </c>
      <c r="B173" s="434" t="s">
        <v>411</v>
      </c>
      <c r="C173" s="435">
        <v>41</v>
      </c>
      <c r="D173" s="435">
        <v>30</v>
      </c>
      <c r="E173" s="435">
        <v>24</v>
      </c>
      <c r="F173" s="434" t="s">
        <v>25</v>
      </c>
      <c r="G173" s="434" t="s">
        <v>11</v>
      </c>
      <c r="H173" s="434" t="s">
        <v>7</v>
      </c>
      <c r="I173" s="434" t="s">
        <v>10</v>
      </c>
      <c r="J173" s="434" t="s">
        <v>25</v>
      </c>
      <c r="K173" s="435">
        <v>1</v>
      </c>
      <c r="L173" s="435"/>
      <c r="M173" s="434" t="s">
        <v>25</v>
      </c>
      <c r="N173" s="436">
        <v>6.13</v>
      </c>
      <c r="O173" s="436">
        <v>5.98</v>
      </c>
      <c r="P173" s="436">
        <v>5.82</v>
      </c>
      <c r="Q173" s="436">
        <v>5.67</v>
      </c>
      <c r="R173" s="436">
        <v>5.52</v>
      </c>
      <c r="S173" s="263"/>
      <c r="T173" s="264">
        <f t="shared" si="11"/>
        <v>0</v>
      </c>
      <c r="U173" s="437">
        <v>766</v>
      </c>
      <c r="V173" s="438">
        <v>947.4335188620903</v>
      </c>
      <c r="W173" s="439">
        <v>0</v>
      </c>
      <c r="X173" s="440">
        <v>29520</v>
      </c>
      <c r="Y173" s="262">
        <f t="shared" si="12"/>
        <v>0</v>
      </c>
    </row>
    <row r="174" spans="1:25" ht="16.5">
      <c r="A174" s="445" t="s">
        <v>25</v>
      </c>
      <c r="B174" s="434" t="s">
        <v>412</v>
      </c>
      <c r="C174" s="435">
        <v>41</v>
      </c>
      <c r="D174" s="435">
        <v>30</v>
      </c>
      <c r="E174" s="435">
        <v>30</v>
      </c>
      <c r="F174" s="434" t="s">
        <v>25</v>
      </c>
      <c r="G174" s="434" t="s">
        <v>11</v>
      </c>
      <c r="H174" s="434" t="s">
        <v>7</v>
      </c>
      <c r="I174" s="434" t="s">
        <v>10</v>
      </c>
      <c r="J174" s="434" t="s">
        <v>25</v>
      </c>
      <c r="K174" s="435">
        <v>1</v>
      </c>
      <c r="L174" s="435"/>
      <c r="M174" s="434" t="s">
        <v>25</v>
      </c>
      <c r="N174" s="436">
        <v>5.76</v>
      </c>
      <c r="O174" s="436">
        <v>5.62</v>
      </c>
      <c r="P174" s="436">
        <v>5.47</v>
      </c>
      <c r="Q174" s="436">
        <v>5.33</v>
      </c>
      <c r="R174" s="436">
        <v>5.18</v>
      </c>
      <c r="S174" s="263"/>
      <c r="T174" s="264">
        <f t="shared" si="11"/>
        <v>0</v>
      </c>
      <c r="U174" s="437">
        <v>720</v>
      </c>
      <c r="V174" s="438">
        <v>802.94412847106048</v>
      </c>
      <c r="W174" s="439">
        <v>0</v>
      </c>
      <c r="X174" s="440">
        <v>36900</v>
      </c>
      <c r="Y174" s="262">
        <f t="shared" si="12"/>
        <v>0</v>
      </c>
    </row>
    <row r="175" spans="1:25" ht="16.5">
      <c r="A175" s="445" t="s">
        <v>25</v>
      </c>
      <c r="B175" s="434" t="s">
        <v>413</v>
      </c>
      <c r="C175" s="435">
        <v>41</v>
      </c>
      <c r="D175" s="435">
        <v>30</v>
      </c>
      <c r="E175" s="435">
        <v>35</v>
      </c>
      <c r="F175" s="434" t="s">
        <v>25</v>
      </c>
      <c r="G175" s="434" t="s">
        <v>11</v>
      </c>
      <c r="H175" s="434" t="s">
        <v>7</v>
      </c>
      <c r="I175" s="434" t="s">
        <v>10</v>
      </c>
      <c r="J175" s="434" t="s">
        <v>25</v>
      </c>
      <c r="K175" s="435">
        <v>1</v>
      </c>
      <c r="L175" s="435"/>
      <c r="M175" s="434" t="s">
        <v>25</v>
      </c>
      <c r="N175" s="436">
        <v>6</v>
      </c>
      <c r="O175" s="436">
        <v>5.85</v>
      </c>
      <c r="P175" s="436">
        <v>5.7</v>
      </c>
      <c r="Q175" s="436">
        <v>5.55</v>
      </c>
      <c r="R175" s="436">
        <v>5.4</v>
      </c>
      <c r="S175" s="263"/>
      <c r="T175" s="264">
        <f t="shared" si="11"/>
        <v>0</v>
      </c>
      <c r="U175" s="437">
        <v>722</v>
      </c>
      <c r="V175" s="438">
        <v>744.17645846217283</v>
      </c>
      <c r="W175" s="439">
        <v>0</v>
      </c>
      <c r="X175" s="440">
        <v>43050</v>
      </c>
      <c r="Y175" s="262">
        <f t="shared" si="12"/>
        <v>0</v>
      </c>
    </row>
    <row r="176" spans="1:25" ht="16.5">
      <c r="A176" s="445" t="s">
        <v>25</v>
      </c>
      <c r="B176" s="434" t="s">
        <v>461</v>
      </c>
      <c r="C176" s="435">
        <v>41</v>
      </c>
      <c r="D176" s="435">
        <v>32</v>
      </c>
      <c r="E176" s="435">
        <v>30</v>
      </c>
      <c r="F176" s="434" t="s">
        <v>25</v>
      </c>
      <c r="G176" s="434" t="s">
        <v>11</v>
      </c>
      <c r="H176" s="434" t="s">
        <v>7</v>
      </c>
      <c r="I176" s="434" t="s">
        <v>1</v>
      </c>
      <c r="J176" s="434" t="s">
        <v>25</v>
      </c>
      <c r="K176" s="435">
        <v>1</v>
      </c>
      <c r="L176" s="435"/>
      <c r="M176" s="434" t="s">
        <v>25</v>
      </c>
      <c r="N176" s="436">
        <v>5.36</v>
      </c>
      <c r="O176" s="436">
        <v>5.23</v>
      </c>
      <c r="P176" s="436">
        <v>5.09</v>
      </c>
      <c r="Q176" s="436">
        <v>4.96</v>
      </c>
      <c r="R176" s="436">
        <v>4.82</v>
      </c>
      <c r="S176" s="263"/>
      <c r="T176" s="264">
        <f t="shared" si="11"/>
        <v>0</v>
      </c>
      <c r="U176" s="437">
        <v>596</v>
      </c>
      <c r="V176" s="438">
        <v>626.51109008724904</v>
      </c>
      <c r="W176" s="439">
        <v>0</v>
      </c>
      <c r="X176" s="440">
        <v>39360</v>
      </c>
      <c r="Y176" s="262">
        <f t="shared" si="12"/>
        <v>0</v>
      </c>
    </row>
    <row r="177" spans="1:25" ht="16.5">
      <c r="A177" s="445" t="s">
        <v>25</v>
      </c>
      <c r="B177" s="434" t="s">
        <v>414</v>
      </c>
      <c r="C177" s="435">
        <v>42</v>
      </c>
      <c r="D177" s="435">
        <v>35</v>
      </c>
      <c r="E177" s="435">
        <v>28</v>
      </c>
      <c r="F177" s="434" t="s">
        <v>25</v>
      </c>
      <c r="G177" s="434" t="s">
        <v>11</v>
      </c>
      <c r="H177" s="434" t="s">
        <v>7</v>
      </c>
      <c r="I177" s="434" t="s">
        <v>10</v>
      </c>
      <c r="J177" s="434" t="s">
        <v>25</v>
      </c>
      <c r="K177" s="435">
        <v>1</v>
      </c>
      <c r="L177" s="435"/>
      <c r="M177" s="434" t="s">
        <v>25</v>
      </c>
      <c r="N177" s="436">
        <v>5.7</v>
      </c>
      <c r="O177" s="436">
        <v>5.56</v>
      </c>
      <c r="P177" s="436">
        <v>5.41</v>
      </c>
      <c r="Q177" s="436">
        <v>5.27</v>
      </c>
      <c r="R177" s="436">
        <v>5.13</v>
      </c>
      <c r="S177" s="263"/>
      <c r="T177" s="264">
        <f t="shared" si="11"/>
        <v>0</v>
      </c>
      <c r="U177" s="437">
        <v>712</v>
      </c>
      <c r="V177" s="438">
        <v>699.68553459119494</v>
      </c>
      <c r="W177" s="439">
        <v>0</v>
      </c>
      <c r="X177" s="440">
        <v>41160</v>
      </c>
      <c r="Y177" s="262">
        <f t="shared" si="12"/>
        <v>0</v>
      </c>
    </row>
    <row r="178" spans="1:25" ht="16.5">
      <c r="A178" s="445" t="s">
        <v>300</v>
      </c>
      <c r="B178" s="434" t="s">
        <v>120</v>
      </c>
      <c r="C178" s="435">
        <v>42</v>
      </c>
      <c r="D178" s="435">
        <v>36</v>
      </c>
      <c r="E178" s="435">
        <v>24</v>
      </c>
      <c r="F178" s="434" t="s">
        <v>25</v>
      </c>
      <c r="G178" s="434" t="s">
        <v>3</v>
      </c>
      <c r="H178" s="434" t="s">
        <v>2</v>
      </c>
      <c r="I178" s="434" t="s">
        <v>10</v>
      </c>
      <c r="J178" s="434" t="s">
        <v>25</v>
      </c>
      <c r="K178" s="435">
        <v>1</v>
      </c>
      <c r="L178" s="435"/>
      <c r="M178" s="434" t="s">
        <v>25</v>
      </c>
      <c r="N178" s="436">
        <v>13.88</v>
      </c>
      <c r="O178" s="436">
        <v>13.53</v>
      </c>
      <c r="P178" s="436">
        <v>13.19</v>
      </c>
      <c r="Q178" s="436">
        <v>12.84</v>
      </c>
      <c r="R178" s="436">
        <v>12.49</v>
      </c>
      <c r="S178" s="263"/>
      <c r="T178" s="264">
        <f t="shared" si="11"/>
        <v>0</v>
      </c>
      <c r="U178" s="437">
        <v>630</v>
      </c>
      <c r="V178" s="438">
        <v>641.48253741981466</v>
      </c>
      <c r="W178" s="439">
        <v>6</v>
      </c>
      <c r="X178" s="440">
        <v>36288</v>
      </c>
      <c r="Y178" s="262">
        <f t="shared" si="12"/>
        <v>0</v>
      </c>
    </row>
    <row r="179" spans="1:25" ht="16.5">
      <c r="A179" s="445" t="s">
        <v>300</v>
      </c>
      <c r="B179" s="434" t="s">
        <v>306</v>
      </c>
      <c r="C179" s="435">
        <v>43</v>
      </c>
      <c r="D179" s="435">
        <v>35</v>
      </c>
      <c r="E179" s="435">
        <v>3</v>
      </c>
      <c r="F179" s="434" t="s">
        <v>25</v>
      </c>
      <c r="G179" s="434" t="s">
        <v>3</v>
      </c>
      <c r="H179" s="434" t="s">
        <v>2</v>
      </c>
      <c r="I179" s="434" t="s">
        <v>1</v>
      </c>
      <c r="J179" s="434" t="s">
        <v>25</v>
      </c>
      <c r="K179" s="435">
        <v>1</v>
      </c>
      <c r="L179" s="435"/>
      <c r="M179" s="434" t="s">
        <v>25</v>
      </c>
      <c r="N179" s="436">
        <v>4</v>
      </c>
      <c r="O179" s="436">
        <v>3.9</v>
      </c>
      <c r="P179" s="436">
        <v>3.8</v>
      </c>
      <c r="Q179" s="436">
        <v>3.7</v>
      </c>
      <c r="R179" s="436">
        <v>3.6</v>
      </c>
      <c r="S179" s="263"/>
      <c r="T179" s="264">
        <f t="shared" si="11"/>
        <v>0</v>
      </c>
      <c r="U179" s="437">
        <v>200</v>
      </c>
      <c r="V179" s="438">
        <v>318.52205765249244</v>
      </c>
      <c r="W179" s="439">
        <v>3.3</v>
      </c>
      <c r="X179" s="440">
        <v>4515</v>
      </c>
      <c r="Y179" s="262">
        <f t="shared" si="12"/>
        <v>0</v>
      </c>
    </row>
    <row r="180" spans="1:25" ht="16.5">
      <c r="A180" s="445" t="s">
        <v>300</v>
      </c>
      <c r="B180" s="434" t="s">
        <v>415</v>
      </c>
      <c r="C180" s="435">
        <v>43</v>
      </c>
      <c r="D180" s="435">
        <v>37</v>
      </c>
      <c r="E180" s="435">
        <v>39</v>
      </c>
      <c r="F180" s="434" t="s">
        <v>25</v>
      </c>
      <c r="G180" s="434" t="s">
        <v>3</v>
      </c>
      <c r="H180" s="434" t="s">
        <v>7</v>
      </c>
      <c r="I180" s="434" t="s">
        <v>1</v>
      </c>
      <c r="J180" s="434" t="s">
        <v>25</v>
      </c>
      <c r="K180" s="435">
        <v>1</v>
      </c>
      <c r="L180" s="435"/>
      <c r="M180" s="434" t="s">
        <v>25</v>
      </c>
      <c r="N180" s="436">
        <v>5.6</v>
      </c>
      <c r="O180" s="436">
        <v>5.46</v>
      </c>
      <c r="P180" s="436">
        <v>5.32</v>
      </c>
      <c r="Q180" s="436">
        <v>5.18</v>
      </c>
      <c r="R180" s="436">
        <v>5.04</v>
      </c>
      <c r="S180" s="263"/>
      <c r="T180" s="264">
        <f t="shared" si="11"/>
        <v>0</v>
      </c>
      <c r="U180" s="437">
        <v>516</v>
      </c>
      <c r="V180" s="438">
        <v>406.13931523022433</v>
      </c>
      <c r="W180" s="439">
        <v>3.3</v>
      </c>
      <c r="X180" s="440">
        <v>62049</v>
      </c>
      <c r="Y180" s="262">
        <f t="shared" si="12"/>
        <v>0</v>
      </c>
    </row>
    <row r="181" spans="1:25" ht="16.5">
      <c r="A181" s="445" t="s">
        <v>25</v>
      </c>
      <c r="B181" s="434" t="s">
        <v>416</v>
      </c>
      <c r="C181" s="435">
        <v>44</v>
      </c>
      <c r="D181" s="435">
        <v>15</v>
      </c>
      <c r="E181" s="435">
        <v>34</v>
      </c>
      <c r="F181" s="434" t="s">
        <v>25</v>
      </c>
      <c r="G181" s="434" t="s">
        <v>3</v>
      </c>
      <c r="H181" s="434" t="s">
        <v>7</v>
      </c>
      <c r="I181" s="434" t="s">
        <v>10</v>
      </c>
      <c r="J181" s="434" t="s">
        <v>25</v>
      </c>
      <c r="K181" s="435">
        <v>1</v>
      </c>
      <c r="L181" s="435"/>
      <c r="M181" s="434" t="s">
        <v>25</v>
      </c>
      <c r="N181" s="436">
        <v>3.15</v>
      </c>
      <c r="O181" s="436">
        <v>3.07</v>
      </c>
      <c r="P181" s="436">
        <v>2.99</v>
      </c>
      <c r="Q181" s="436">
        <v>2.91</v>
      </c>
      <c r="R181" s="436">
        <v>2.83</v>
      </c>
      <c r="S181" s="263"/>
      <c r="T181" s="264">
        <f t="shared" si="11"/>
        <v>0</v>
      </c>
      <c r="U181" s="437">
        <v>394</v>
      </c>
      <c r="V181" s="438">
        <v>640.65040650406502</v>
      </c>
      <c r="W181" s="439">
        <v>0</v>
      </c>
      <c r="X181" s="440">
        <v>22440</v>
      </c>
      <c r="Y181" s="262">
        <f t="shared" si="12"/>
        <v>0</v>
      </c>
    </row>
    <row r="182" spans="1:25" ht="16.5">
      <c r="A182" s="445" t="s">
        <v>300</v>
      </c>
      <c r="B182" s="434" t="s">
        <v>417</v>
      </c>
      <c r="C182" s="435">
        <v>45</v>
      </c>
      <c r="D182" s="435">
        <v>32</v>
      </c>
      <c r="E182" s="435">
        <v>15</v>
      </c>
      <c r="F182" s="434" t="s">
        <v>25</v>
      </c>
      <c r="G182" s="434" t="s">
        <v>11</v>
      </c>
      <c r="H182" s="434" t="s">
        <v>7</v>
      </c>
      <c r="I182" s="434" t="s">
        <v>10</v>
      </c>
      <c r="J182" s="434" t="s">
        <v>25</v>
      </c>
      <c r="K182" s="435">
        <v>1</v>
      </c>
      <c r="L182" s="435"/>
      <c r="M182" s="434" t="s">
        <v>25</v>
      </c>
      <c r="N182" s="436">
        <v>3.55</v>
      </c>
      <c r="O182" s="436">
        <v>3.46</v>
      </c>
      <c r="P182" s="436">
        <v>3.37</v>
      </c>
      <c r="Q182" s="436">
        <v>3.28</v>
      </c>
      <c r="R182" s="436">
        <v>3.19</v>
      </c>
      <c r="S182" s="263"/>
      <c r="T182" s="264">
        <f t="shared" si="11"/>
        <v>0</v>
      </c>
      <c r="U182" s="437">
        <v>394</v>
      </c>
      <c r="V182" s="438">
        <v>516.24737945492666</v>
      </c>
      <c r="W182" s="439">
        <v>0</v>
      </c>
      <c r="X182" s="440">
        <v>21600</v>
      </c>
      <c r="Y182" s="262">
        <f t="shared" si="12"/>
        <v>0</v>
      </c>
    </row>
    <row r="183" spans="1:25" ht="16.5">
      <c r="A183" s="445" t="s">
        <v>300</v>
      </c>
      <c r="B183" s="434" t="s">
        <v>418</v>
      </c>
      <c r="C183" s="435">
        <v>48</v>
      </c>
      <c r="D183" s="435">
        <v>31</v>
      </c>
      <c r="E183" s="435">
        <v>27</v>
      </c>
      <c r="F183" s="434" t="s">
        <v>25</v>
      </c>
      <c r="G183" s="434" t="s">
        <v>11</v>
      </c>
      <c r="H183" s="434" t="s">
        <v>7</v>
      </c>
      <c r="I183" s="434" t="s">
        <v>10</v>
      </c>
      <c r="J183" s="434" t="s">
        <v>25</v>
      </c>
      <c r="K183" s="435">
        <v>1</v>
      </c>
      <c r="L183" s="435"/>
      <c r="M183" s="434" t="s">
        <v>25</v>
      </c>
      <c r="N183" s="436">
        <v>5.15</v>
      </c>
      <c r="O183" s="436">
        <v>5.0199999999999996</v>
      </c>
      <c r="P183" s="436">
        <v>4.8899999999999997</v>
      </c>
      <c r="Q183" s="436">
        <v>4.76</v>
      </c>
      <c r="R183" s="436">
        <v>4.63</v>
      </c>
      <c r="S183" s="263"/>
      <c r="T183" s="264">
        <f t="shared" si="11"/>
        <v>0</v>
      </c>
      <c r="U183" s="437">
        <v>652</v>
      </c>
      <c r="V183" s="438">
        <v>677.96610169491521</v>
      </c>
      <c r="W183" s="439">
        <v>6</v>
      </c>
      <c r="X183" s="440">
        <v>40176</v>
      </c>
      <c r="Y183" s="262">
        <f t="shared" si="12"/>
        <v>0</v>
      </c>
    </row>
    <row r="184" spans="1:25" ht="16.5">
      <c r="A184" s="445" t="s">
        <v>25</v>
      </c>
      <c r="B184" s="434" t="s">
        <v>419</v>
      </c>
      <c r="C184" s="435">
        <v>48</v>
      </c>
      <c r="D184" s="435">
        <v>32</v>
      </c>
      <c r="E184" s="435">
        <v>48</v>
      </c>
      <c r="F184" s="434" t="s">
        <v>25</v>
      </c>
      <c r="G184" s="434" t="s">
        <v>11</v>
      </c>
      <c r="H184" s="434" t="s">
        <v>7</v>
      </c>
      <c r="I184" s="434" t="s">
        <v>1</v>
      </c>
      <c r="J184" s="434" t="s">
        <v>25</v>
      </c>
      <c r="K184" s="435">
        <v>1</v>
      </c>
      <c r="L184" s="435"/>
      <c r="M184" s="434" t="s">
        <v>25</v>
      </c>
      <c r="N184" s="436">
        <v>7.36</v>
      </c>
      <c r="O184" s="436">
        <v>7.18</v>
      </c>
      <c r="P184" s="436">
        <v>6.99</v>
      </c>
      <c r="Q184" s="436">
        <v>6.81</v>
      </c>
      <c r="R184" s="436">
        <v>6.62</v>
      </c>
      <c r="S184" s="263"/>
      <c r="T184" s="264">
        <f t="shared" si="11"/>
        <v>0</v>
      </c>
      <c r="U184" s="437">
        <v>920</v>
      </c>
      <c r="V184" s="438">
        <v>688.36513280957729</v>
      </c>
      <c r="W184" s="439">
        <v>0</v>
      </c>
      <c r="X184" s="440">
        <v>73728</v>
      </c>
      <c r="Y184" s="262">
        <f t="shared" si="12"/>
        <v>0</v>
      </c>
    </row>
    <row r="185" spans="1:25" ht="16.5">
      <c r="A185" s="445" t="s">
        <v>25</v>
      </c>
      <c r="B185" s="434" t="s">
        <v>420</v>
      </c>
      <c r="C185" s="435">
        <v>48</v>
      </c>
      <c r="D185" s="435">
        <v>33</v>
      </c>
      <c r="E185" s="435">
        <v>41</v>
      </c>
      <c r="F185" s="434" t="s">
        <v>25</v>
      </c>
      <c r="G185" s="434" t="s">
        <v>11</v>
      </c>
      <c r="H185" s="434" t="s">
        <v>7</v>
      </c>
      <c r="I185" s="434" t="s">
        <v>1</v>
      </c>
      <c r="J185" s="434" t="s">
        <v>25</v>
      </c>
      <c r="K185" s="435">
        <v>1</v>
      </c>
      <c r="L185" s="435"/>
      <c r="M185" s="434" t="s">
        <v>25</v>
      </c>
      <c r="N185" s="436">
        <v>5.52</v>
      </c>
      <c r="O185" s="436">
        <v>5.38</v>
      </c>
      <c r="P185" s="436">
        <v>5.24</v>
      </c>
      <c r="Q185" s="436">
        <v>5.1100000000000003</v>
      </c>
      <c r="R185" s="436">
        <v>4.97</v>
      </c>
      <c r="S185" s="263"/>
      <c r="T185" s="264">
        <f t="shared" si="11"/>
        <v>0</v>
      </c>
      <c r="U185" s="437">
        <v>690</v>
      </c>
      <c r="V185" s="438">
        <v>550.89820359281441</v>
      </c>
      <c r="W185" s="439">
        <v>0</v>
      </c>
      <c r="X185" s="440">
        <v>64944</v>
      </c>
      <c r="Y185" s="262">
        <f t="shared" si="12"/>
        <v>0</v>
      </c>
    </row>
    <row r="186" spans="1:25" ht="16.5">
      <c r="A186" s="445" t="s">
        <v>25</v>
      </c>
      <c r="B186" s="434" t="s">
        <v>462</v>
      </c>
      <c r="C186" s="435">
        <v>48</v>
      </c>
      <c r="D186" s="435">
        <v>46</v>
      </c>
      <c r="E186" s="435">
        <v>45</v>
      </c>
      <c r="F186" s="434" t="s">
        <v>25</v>
      </c>
      <c r="G186" s="434" t="s">
        <v>25</v>
      </c>
      <c r="H186" s="434" t="s">
        <v>7</v>
      </c>
      <c r="I186" s="434" t="s">
        <v>10</v>
      </c>
      <c r="J186" s="434" t="s">
        <v>25</v>
      </c>
      <c r="K186" s="435">
        <v>1</v>
      </c>
      <c r="L186" s="435"/>
      <c r="M186" s="434" t="s">
        <v>25</v>
      </c>
      <c r="N186" s="436">
        <v>8.67</v>
      </c>
      <c r="O186" s="436">
        <v>8.4499999999999993</v>
      </c>
      <c r="P186" s="436">
        <v>8.24</v>
      </c>
      <c r="Q186" s="436">
        <v>8.02</v>
      </c>
      <c r="R186" s="436">
        <v>7.8</v>
      </c>
      <c r="S186" s="263"/>
      <c r="T186" s="264">
        <f t="shared" si="11"/>
        <v>0</v>
      </c>
      <c r="U186" s="437">
        <v>1084</v>
      </c>
      <c r="V186" s="438">
        <v>610.49785987835094</v>
      </c>
      <c r="W186" s="439">
        <v>0</v>
      </c>
      <c r="X186" s="440">
        <v>99360</v>
      </c>
      <c r="Y186" s="262">
        <f t="shared" si="12"/>
        <v>0</v>
      </c>
    </row>
    <row r="187" spans="1:25" ht="16.5">
      <c r="A187" s="445" t="s">
        <v>25</v>
      </c>
      <c r="B187" s="434" t="s">
        <v>421</v>
      </c>
      <c r="C187" s="435">
        <v>49</v>
      </c>
      <c r="D187" s="435">
        <v>37</v>
      </c>
      <c r="E187" s="435">
        <v>37</v>
      </c>
      <c r="F187" s="434" t="s">
        <v>25</v>
      </c>
      <c r="G187" s="434" t="s">
        <v>11</v>
      </c>
      <c r="H187" s="434" t="s">
        <v>7</v>
      </c>
      <c r="I187" s="434" t="s">
        <v>10</v>
      </c>
      <c r="J187" s="434" t="s">
        <v>25</v>
      </c>
      <c r="K187" s="435">
        <v>1</v>
      </c>
      <c r="L187" s="435"/>
      <c r="M187" s="434" t="s">
        <v>25</v>
      </c>
      <c r="N187" s="436">
        <v>7.17</v>
      </c>
      <c r="O187" s="436">
        <v>6.99</v>
      </c>
      <c r="P187" s="436">
        <v>6.81</v>
      </c>
      <c r="Q187" s="436">
        <v>6.63</v>
      </c>
      <c r="R187" s="436">
        <v>6.45</v>
      </c>
      <c r="S187" s="263"/>
      <c r="T187" s="264">
        <f t="shared" si="11"/>
        <v>0</v>
      </c>
      <c r="U187" s="437">
        <v>896</v>
      </c>
      <c r="V187" s="438">
        <v>674.95291902071563</v>
      </c>
      <c r="W187" s="439">
        <v>0</v>
      </c>
      <c r="X187" s="440">
        <v>67081</v>
      </c>
      <c r="Y187" s="262">
        <f t="shared" si="12"/>
        <v>0</v>
      </c>
    </row>
    <row r="188" spans="1:25" ht="16.5">
      <c r="A188" s="445" t="s">
        <v>300</v>
      </c>
      <c r="B188" s="434" t="s">
        <v>246</v>
      </c>
      <c r="C188" s="435">
        <v>50</v>
      </c>
      <c r="D188" s="435">
        <v>33</v>
      </c>
      <c r="E188" s="435">
        <v>20</v>
      </c>
      <c r="F188" s="434" t="s">
        <v>25</v>
      </c>
      <c r="G188" s="434" t="s">
        <v>3</v>
      </c>
      <c r="H188" s="434" t="s">
        <v>7</v>
      </c>
      <c r="I188" s="434" t="s">
        <v>1</v>
      </c>
      <c r="J188" s="434" t="s">
        <v>25</v>
      </c>
      <c r="K188" s="435">
        <v>1</v>
      </c>
      <c r="L188" s="435"/>
      <c r="M188" s="434" t="s">
        <v>25</v>
      </c>
      <c r="N188" s="436">
        <v>11.44</v>
      </c>
      <c r="O188" s="436">
        <v>11.15</v>
      </c>
      <c r="P188" s="436">
        <v>10.87</v>
      </c>
      <c r="Q188" s="436">
        <v>10.58</v>
      </c>
      <c r="R188" s="436">
        <v>10.3</v>
      </c>
      <c r="S188" s="263"/>
      <c r="T188" s="264">
        <f t="shared" si="11"/>
        <v>0</v>
      </c>
      <c r="U188" s="437">
        <v>700</v>
      </c>
      <c r="V188" s="438">
        <v>758.06800952999788</v>
      </c>
      <c r="W188" s="439">
        <v>5</v>
      </c>
      <c r="X188" s="440">
        <v>33000</v>
      </c>
      <c r="Y188" s="262">
        <f t="shared" si="12"/>
        <v>0</v>
      </c>
    </row>
    <row r="189" spans="1:25" ht="16.5">
      <c r="A189" s="445" t="s">
        <v>300</v>
      </c>
      <c r="B189" s="434" t="s">
        <v>307</v>
      </c>
      <c r="C189" s="435">
        <v>50</v>
      </c>
      <c r="D189" s="435">
        <v>33</v>
      </c>
      <c r="E189" s="435">
        <v>20</v>
      </c>
      <c r="F189" s="434" t="s">
        <v>25</v>
      </c>
      <c r="G189" s="434" t="s">
        <v>3</v>
      </c>
      <c r="H189" s="434" t="s">
        <v>308</v>
      </c>
      <c r="I189" s="434" t="s">
        <v>1</v>
      </c>
      <c r="J189" s="434" t="s">
        <v>25</v>
      </c>
      <c r="K189" s="435">
        <v>1</v>
      </c>
      <c r="L189" s="435"/>
      <c r="M189" s="434" t="s">
        <v>25</v>
      </c>
      <c r="N189" s="436">
        <v>5.8</v>
      </c>
      <c r="O189" s="436">
        <v>5.66</v>
      </c>
      <c r="P189" s="436">
        <v>5.51</v>
      </c>
      <c r="Q189" s="436">
        <v>5.37</v>
      </c>
      <c r="R189" s="436">
        <v>5.22</v>
      </c>
      <c r="S189" s="263"/>
      <c r="T189" s="264">
        <f t="shared" si="11"/>
        <v>0</v>
      </c>
      <c r="U189" s="437">
        <v>248</v>
      </c>
      <c r="V189" s="438">
        <v>268.57266623348494</v>
      </c>
      <c r="W189" s="439">
        <v>3.3</v>
      </c>
      <c r="X189" s="440">
        <v>33000</v>
      </c>
      <c r="Y189" s="262">
        <f t="shared" si="12"/>
        <v>0</v>
      </c>
    </row>
    <row r="190" spans="1:25" ht="16.5">
      <c r="A190" s="445" t="s">
        <v>300</v>
      </c>
      <c r="B190" s="434" t="s">
        <v>23</v>
      </c>
      <c r="C190" s="435">
        <v>50</v>
      </c>
      <c r="D190" s="435">
        <v>33</v>
      </c>
      <c r="E190" s="435">
        <v>20</v>
      </c>
      <c r="F190" s="434" t="s">
        <v>25</v>
      </c>
      <c r="G190" s="434" t="s">
        <v>3</v>
      </c>
      <c r="H190" s="434" t="s">
        <v>7</v>
      </c>
      <c r="I190" s="434" t="s">
        <v>1</v>
      </c>
      <c r="J190" s="434" t="s">
        <v>25</v>
      </c>
      <c r="K190" s="435">
        <v>1</v>
      </c>
      <c r="L190" s="435"/>
      <c r="M190" s="434" t="s">
        <v>25</v>
      </c>
      <c r="N190" s="436">
        <v>5.96</v>
      </c>
      <c r="O190" s="436">
        <v>5.81</v>
      </c>
      <c r="P190" s="436">
        <v>5.66</v>
      </c>
      <c r="Q190" s="436">
        <v>5.51</v>
      </c>
      <c r="R190" s="436">
        <v>5.36</v>
      </c>
      <c r="S190" s="263"/>
      <c r="T190" s="264">
        <f t="shared" si="11"/>
        <v>0</v>
      </c>
      <c r="U190" s="437">
        <v>310</v>
      </c>
      <c r="V190" s="438">
        <v>335.7158327918562</v>
      </c>
      <c r="W190" s="439">
        <v>3.3</v>
      </c>
      <c r="X190" s="440">
        <v>33000</v>
      </c>
      <c r="Y190" s="262">
        <f t="shared" si="12"/>
        <v>0</v>
      </c>
    </row>
    <row r="191" spans="1:25" ht="16.5">
      <c r="A191" s="445" t="s">
        <v>300</v>
      </c>
      <c r="B191" s="434" t="s">
        <v>298</v>
      </c>
      <c r="C191" s="435">
        <v>50</v>
      </c>
      <c r="D191" s="435">
        <v>34</v>
      </c>
      <c r="E191" s="435">
        <v>30</v>
      </c>
      <c r="F191" s="434" t="s">
        <v>25</v>
      </c>
      <c r="G191" s="434" t="s">
        <v>11</v>
      </c>
      <c r="H191" s="434" t="s">
        <v>7</v>
      </c>
      <c r="I191" s="434" t="s">
        <v>1</v>
      </c>
      <c r="J191" s="434" t="s">
        <v>25</v>
      </c>
      <c r="K191" s="435">
        <v>1</v>
      </c>
      <c r="L191" s="435"/>
      <c r="M191" s="434" t="s">
        <v>25</v>
      </c>
      <c r="N191" s="436">
        <v>3.31</v>
      </c>
      <c r="O191" s="436">
        <v>3.23</v>
      </c>
      <c r="P191" s="436">
        <v>3.14</v>
      </c>
      <c r="Q191" s="436">
        <v>3.06</v>
      </c>
      <c r="R191" s="436">
        <v>2.98</v>
      </c>
      <c r="S191" s="263"/>
      <c r="T191" s="264">
        <f t="shared" si="11"/>
        <v>0</v>
      </c>
      <c r="U191" s="437">
        <v>414</v>
      </c>
      <c r="V191" s="438">
        <v>368.16362827923518</v>
      </c>
      <c r="W191" s="439">
        <v>3.3</v>
      </c>
      <c r="X191" s="440">
        <v>51000</v>
      </c>
      <c r="Y191" s="262">
        <f t="shared" si="12"/>
        <v>0</v>
      </c>
    </row>
    <row r="192" spans="1:25" ht="16.5">
      <c r="A192" s="445" t="s">
        <v>300</v>
      </c>
      <c r="B192" s="434" t="s">
        <v>341</v>
      </c>
      <c r="C192" s="435">
        <v>50</v>
      </c>
      <c r="D192" s="435">
        <v>34</v>
      </c>
      <c r="E192" s="435">
        <v>34</v>
      </c>
      <c r="F192" s="434" t="s">
        <v>25</v>
      </c>
      <c r="G192" s="434" t="s">
        <v>11</v>
      </c>
      <c r="H192" s="434" t="s">
        <v>7</v>
      </c>
      <c r="I192" s="434" t="s">
        <v>1</v>
      </c>
      <c r="J192" s="434" t="s">
        <v>25</v>
      </c>
      <c r="K192" s="435">
        <v>1</v>
      </c>
      <c r="L192" s="435"/>
      <c r="M192" s="434" t="s">
        <v>25</v>
      </c>
      <c r="N192" s="436">
        <v>3.73</v>
      </c>
      <c r="O192" s="436">
        <v>3.64</v>
      </c>
      <c r="P192" s="436">
        <v>3.54</v>
      </c>
      <c r="Q192" s="436">
        <v>3.45</v>
      </c>
      <c r="R192" s="436">
        <v>3.36</v>
      </c>
      <c r="S192" s="263"/>
      <c r="T192" s="264">
        <f t="shared" si="11"/>
        <v>0</v>
      </c>
      <c r="U192" s="437">
        <v>466</v>
      </c>
      <c r="V192" s="438">
        <v>390.38284326045073</v>
      </c>
      <c r="W192" s="439">
        <v>0</v>
      </c>
      <c r="X192" s="440">
        <v>57800</v>
      </c>
      <c r="Y192" s="262">
        <f t="shared" si="12"/>
        <v>0</v>
      </c>
    </row>
    <row r="193" spans="1:25" ht="16.5">
      <c r="A193" s="445" t="s">
        <v>300</v>
      </c>
      <c r="B193" s="434" t="s">
        <v>311</v>
      </c>
      <c r="C193" s="435">
        <v>50</v>
      </c>
      <c r="D193" s="435">
        <v>35</v>
      </c>
      <c r="E193" s="435">
        <v>30</v>
      </c>
      <c r="F193" s="434" t="s">
        <v>25</v>
      </c>
      <c r="G193" s="434" t="s">
        <v>3</v>
      </c>
      <c r="H193" s="434" t="s">
        <v>7</v>
      </c>
      <c r="I193" s="434" t="s">
        <v>1</v>
      </c>
      <c r="J193" s="434" t="s">
        <v>25</v>
      </c>
      <c r="K193" s="435">
        <v>1</v>
      </c>
      <c r="L193" s="435"/>
      <c r="M193" s="434" t="s">
        <v>25</v>
      </c>
      <c r="N193" s="436">
        <v>7.26</v>
      </c>
      <c r="O193" s="436">
        <v>7.08</v>
      </c>
      <c r="P193" s="436">
        <v>6.9</v>
      </c>
      <c r="Q193" s="436">
        <v>6.72</v>
      </c>
      <c r="R193" s="436">
        <v>6.53</v>
      </c>
      <c r="S193" s="263"/>
      <c r="T193" s="264">
        <f t="shared" si="11"/>
        <v>0</v>
      </c>
      <c r="U193" s="437">
        <v>584</v>
      </c>
      <c r="V193" s="438">
        <v>505.62770562770561</v>
      </c>
      <c r="W193" s="439">
        <v>4</v>
      </c>
      <c r="X193" s="440">
        <v>52500</v>
      </c>
      <c r="Y193" s="262">
        <f t="shared" si="12"/>
        <v>0</v>
      </c>
    </row>
    <row r="194" spans="1:25" ht="16.5">
      <c r="A194" s="445" t="s">
        <v>300</v>
      </c>
      <c r="B194" s="434" t="s">
        <v>121</v>
      </c>
      <c r="C194" s="435">
        <v>50</v>
      </c>
      <c r="D194" s="435">
        <v>36</v>
      </c>
      <c r="E194" s="435">
        <v>27</v>
      </c>
      <c r="F194" s="434" t="s">
        <v>25</v>
      </c>
      <c r="G194" s="434" t="s">
        <v>3</v>
      </c>
      <c r="H194" s="434" t="s">
        <v>7</v>
      </c>
      <c r="I194" s="434" t="s">
        <v>1</v>
      </c>
      <c r="J194" s="434" t="s">
        <v>25</v>
      </c>
      <c r="K194" s="435">
        <v>1</v>
      </c>
      <c r="L194" s="435"/>
      <c r="M194" s="434" t="s">
        <v>25</v>
      </c>
      <c r="N194" s="436">
        <v>8.8000000000000007</v>
      </c>
      <c r="O194" s="436">
        <v>8.58</v>
      </c>
      <c r="P194" s="436">
        <v>8.36</v>
      </c>
      <c r="Q194" s="436">
        <v>8.14</v>
      </c>
      <c r="R194" s="436">
        <v>7.92</v>
      </c>
      <c r="S194" s="263"/>
      <c r="T194" s="264">
        <f t="shared" si="11"/>
        <v>0</v>
      </c>
      <c r="U194" s="437">
        <v>390</v>
      </c>
      <c r="V194" s="438">
        <v>344.27966101694915</v>
      </c>
      <c r="W194" s="439">
        <v>3.3</v>
      </c>
      <c r="X194" s="440">
        <v>48600</v>
      </c>
      <c r="Y194" s="262">
        <f t="shared" si="12"/>
        <v>0</v>
      </c>
    </row>
    <row r="195" spans="1:25" ht="16.5">
      <c r="A195" s="445" t="s">
        <v>300</v>
      </c>
      <c r="B195" s="434" t="s">
        <v>317</v>
      </c>
      <c r="C195" s="435">
        <v>51</v>
      </c>
      <c r="D195" s="435">
        <v>51</v>
      </c>
      <c r="E195" s="435">
        <v>34</v>
      </c>
      <c r="F195" s="434" t="s">
        <v>25</v>
      </c>
      <c r="G195" s="434" t="s">
        <v>11</v>
      </c>
      <c r="H195" s="434" t="s">
        <v>7</v>
      </c>
      <c r="I195" s="434" t="s">
        <v>1</v>
      </c>
      <c r="J195" s="434" t="s">
        <v>25</v>
      </c>
      <c r="K195" s="435">
        <v>1</v>
      </c>
      <c r="L195" s="435"/>
      <c r="M195" s="434" t="s">
        <v>25</v>
      </c>
      <c r="N195" s="436">
        <v>7.5</v>
      </c>
      <c r="O195" s="436">
        <v>7.31</v>
      </c>
      <c r="P195" s="436">
        <v>7.12</v>
      </c>
      <c r="Q195" s="436">
        <v>6.94</v>
      </c>
      <c r="R195" s="436">
        <v>6.75</v>
      </c>
      <c r="S195" s="263"/>
      <c r="T195" s="264">
        <f t="shared" si="11"/>
        <v>0</v>
      </c>
      <c r="U195" s="437">
        <v>932</v>
      </c>
      <c r="V195" s="438">
        <v>518.5267608768221</v>
      </c>
      <c r="W195" s="439">
        <v>4</v>
      </c>
      <c r="X195" s="440">
        <v>88434</v>
      </c>
      <c r="Y195" s="262">
        <f t="shared" si="12"/>
        <v>0</v>
      </c>
    </row>
    <row r="196" spans="1:25" ht="16.5">
      <c r="A196" s="445" t="s">
        <v>25</v>
      </c>
      <c r="B196" s="434" t="s">
        <v>422</v>
      </c>
      <c r="C196" s="435">
        <v>53</v>
      </c>
      <c r="D196" s="435">
        <v>19</v>
      </c>
      <c r="E196" s="435">
        <v>34</v>
      </c>
      <c r="F196" s="434" t="s">
        <v>25</v>
      </c>
      <c r="G196" s="434" t="s">
        <v>11</v>
      </c>
      <c r="H196" s="434" t="s">
        <v>7</v>
      </c>
      <c r="I196" s="434" t="s">
        <v>1</v>
      </c>
      <c r="J196" s="434" t="s">
        <v>25</v>
      </c>
      <c r="K196" s="435">
        <v>1</v>
      </c>
      <c r="L196" s="435"/>
      <c r="M196" s="434" t="s">
        <v>25</v>
      </c>
      <c r="N196" s="436">
        <v>3.3</v>
      </c>
      <c r="O196" s="436">
        <v>3.22</v>
      </c>
      <c r="P196" s="436">
        <v>3.13</v>
      </c>
      <c r="Q196" s="436">
        <v>3.05</v>
      </c>
      <c r="R196" s="436">
        <v>2.97</v>
      </c>
      <c r="S196" s="263"/>
      <c r="T196" s="264">
        <f t="shared" si="11"/>
        <v>0</v>
      </c>
      <c r="U196" s="437">
        <v>412</v>
      </c>
      <c r="V196" s="438">
        <v>512.05567984091476</v>
      </c>
      <c r="W196" s="439">
        <v>0</v>
      </c>
      <c r="X196" s="440">
        <v>34238</v>
      </c>
      <c r="Y196" s="262">
        <f t="shared" si="12"/>
        <v>0</v>
      </c>
    </row>
    <row r="197" spans="1:25" ht="16.5">
      <c r="A197" s="445" t="s">
        <v>25</v>
      </c>
      <c r="B197" s="434" t="s">
        <v>423</v>
      </c>
      <c r="C197" s="435">
        <v>53</v>
      </c>
      <c r="D197" s="435">
        <v>45</v>
      </c>
      <c r="E197" s="435">
        <v>29</v>
      </c>
      <c r="F197" s="434" t="s">
        <v>25</v>
      </c>
      <c r="G197" s="434" t="s">
        <v>11</v>
      </c>
      <c r="H197" s="434" t="s">
        <v>7</v>
      </c>
      <c r="I197" s="434" t="s">
        <v>10</v>
      </c>
      <c r="J197" s="434" t="s">
        <v>25</v>
      </c>
      <c r="K197" s="435">
        <v>1</v>
      </c>
      <c r="L197" s="435"/>
      <c r="M197" s="434" t="s">
        <v>25</v>
      </c>
      <c r="N197" s="436">
        <v>5.9</v>
      </c>
      <c r="O197" s="436">
        <v>5.75</v>
      </c>
      <c r="P197" s="436">
        <v>5.6</v>
      </c>
      <c r="Q197" s="436">
        <v>5.46</v>
      </c>
      <c r="R197" s="436">
        <v>5.31</v>
      </c>
      <c r="S197" s="263"/>
      <c r="T197" s="264">
        <f t="shared" si="11"/>
        <v>0</v>
      </c>
      <c r="U197" s="437">
        <v>984</v>
      </c>
      <c r="V197" s="438">
        <v>652.7363184079602</v>
      </c>
      <c r="W197" s="439">
        <v>0</v>
      </c>
      <c r="X197" s="440">
        <v>69165</v>
      </c>
      <c r="Y197" s="262">
        <f t="shared" si="12"/>
        <v>0</v>
      </c>
    </row>
    <row r="198" spans="1:25" ht="16.5">
      <c r="A198" s="445" t="s">
        <v>25</v>
      </c>
      <c r="B198" s="434" t="s">
        <v>424</v>
      </c>
      <c r="C198" s="435">
        <v>55</v>
      </c>
      <c r="D198" s="435">
        <v>48</v>
      </c>
      <c r="E198" s="435">
        <v>55</v>
      </c>
      <c r="F198" s="434" t="s">
        <v>25</v>
      </c>
      <c r="G198" s="434" t="s">
        <v>11</v>
      </c>
      <c r="H198" s="434" t="s">
        <v>7</v>
      </c>
      <c r="I198" s="434" t="s">
        <v>10</v>
      </c>
      <c r="J198" s="434" t="s">
        <v>25</v>
      </c>
      <c r="K198" s="435">
        <v>1</v>
      </c>
      <c r="L198" s="435"/>
      <c r="M198" s="434" t="s">
        <v>25</v>
      </c>
      <c r="N198" s="436">
        <v>10.93</v>
      </c>
      <c r="O198" s="436">
        <v>10.66</v>
      </c>
      <c r="P198" s="436">
        <v>10.38</v>
      </c>
      <c r="Q198" s="436">
        <v>10.11</v>
      </c>
      <c r="R198" s="436">
        <v>9.84</v>
      </c>
      <c r="S198" s="263"/>
      <c r="T198" s="264">
        <f t="shared" si="11"/>
        <v>0</v>
      </c>
      <c r="U198" s="437">
        <v>1366</v>
      </c>
      <c r="V198" s="438">
        <v>622.49362012395193</v>
      </c>
      <c r="W198" s="439">
        <v>0</v>
      </c>
      <c r="X198" s="440">
        <v>145200</v>
      </c>
      <c r="Y198" s="262">
        <f t="shared" si="12"/>
        <v>0</v>
      </c>
    </row>
    <row r="199" spans="1:25" ht="16.5">
      <c r="A199" s="445" t="s">
        <v>25</v>
      </c>
      <c r="B199" s="434" t="s">
        <v>425</v>
      </c>
      <c r="C199" s="435">
        <v>56</v>
      </c>
      <c r="D199" s="435">
        <v>36</v>
      </c>
      <c r="E199" s="435">
        <v>58</v>
      </c>
      <c r="F199" s="434" t="s">
        <v>25</v>
      </c>
      <c r="G199" s="434" t="s">
        <v>11</v>
      </c>
      <c r="H199" s="434" t="s">
        <v>7</v>
      </c>
      <c r="I199" s="434" t="s">
        <v>1</v>
      </c>
      <c r="J199" s="434" t="s">
        <v>25</v>
      </c>
      <c r="K199" s="435">
        <v>1</v>
      </c>
      <c r="L199" s="435"/>
      <c r="M199" s="434" t="s">
        <v>25</v>
      </c>
      <c r="N199" s="436">
        <v>8.34</v>
      </c>
      <c r="O199" s="436">
        <v>8.1300000000000008</v>
      </c>
      <c r="P199" s="436">
        <v>7.92</v>
      </c>
      <c r="Q199" s="436">
        <v>7.71</v>
      </c>
      <c r="R199" s="436">
        <v>7.51</v>
      </c>
      <c r="S199" s="263"/>
      <c r="T199" s="264">
        <f t="shared" si="11"/>
        <v>0</v>
      </c>
      <c r="U199" s="437">
        <v>1192</v>
      </c>
      <c r="V199" s="438">
        <v>663.88192703982179</v>
      </c>
      <c r="W199" s="439">
        <v>0</v>
      </c>
      <c r="X199" s="440">
        <v>116928</v>
      </c>
      <c r="Y199" s="262">
        <f t="shared" si="12"/>
        <v>0</v>
      </c>
    </row>
    <row r="200" spans="1:25" ht="16.5">
      <c r="A200" s="445" t="s">
        <v>300</v>
      </c>
      <c r="B200" s="434" t="s">
        <v>271</v>
      </c>
      <c r="C200" s="435">
        <v>56</v>
      </c>
      <c r="D200" s="435">
        <v>56</v>
      </c>
      <c r="E200" s="435">
        <v>33</v>
      </c>
      <c r="F200" s="434" t="s">
        <v>25</v>
      </c>
      <c r="G200" s="434" t="s">
        <v>11</v>
      </c>
      <c r="H200" s="434" t="s">
        <v>7</v>
      </c>
      <c r="I200" s="434" t="s">
        <v>1</v>
      </c>
      <c r="J200" s="434" t="s">
        <v>25</v>
      </c>
      <c r="K200" s="435">
        <v>1</v>
      </c>
      <c r="L200" s="435"/>
      <c r="M200" s="434" t="s">
        <v>25</v>
      </c>
      <c r="N200" s="436">
        <v>9.5</v>
      </c>
      <c r="O200" s="436">
        <v>9.26</v>
      </c>
      <c r="P200" s="436">
        <v>9.02</v>
      </c>
      <c r="Q200" s="436">
        <v>8.7899999999999991</v>
      </c>
      <c r="R200" s="436">
        <v>8.5500000000000007</v>
      </c>
      <c r="S200" s="263"/>
      <c r="T200" s="264">
        <f t="shared" si="11"/>
        <v>0</v>
      </c>
      <c r="U200" s="437">
        <v>1214</v>
      </c>
      <c r="V200" s="438">
        <v>589.03444929645809</v>
      </c>
      <c r="W200" s="439">
        <v>4</v>
      </c>
      <c r="X200" s="440">
        <v>103488</v>
      </c>
      <c r="Y200" s="262">
        <f t="shared" si="12"/>
        <v>0</v>
      </c>
    </row>
    <row r="201" spans="1:25" ht="16.5">
      <c r="A201" s="445" t="s">
        <v>25</v>
      </c>
      <c r="B201" s="434" t="s">
        <v>463</v>
      </c>
      <c r="C201" s="435">
        <v>57</v>
      </c>
      <c r="D201" s="435">
        <v>38</v>
      </c>
      <c r="E201" s="435">
        <v>56</v>
      </c>
      <c r="F201" s="434" t="s">
        <v>25</v>
      </c>
      <c r="G201" s="434" t="s">
        <v>11</v>
      </c>
      <c r="H201" s="434" t="s">
        <v>7</v>
      </c>
      <c r="I201" s="434" t="s">
        <v>1</v>
      </c>
      <c r="J201" s="434" t="s">
        <v>25</v>
      </c>
      <c r="K201" s="435">
        <v>1</v>
      </c>
      <c r="L201" s="435"/>
      <c r="M201" s="434" t="s">
        <v>25</v>
      </c>
      <c r="N201" s="436">
        <v>9</v>
      </c>
      <c r="O201" s="436">
        <v>8.7799999999999994</v>
      </c>
      <c r="P201" s="436">
        <v>8.5500000000000007</v>
      </c>
      <c r="Q201" s="436">
        <v>8.33</v>
      </c>
      <c r="R201" s="436">
        <v>8.1</v>
      </c>
      <c r="S201" s="263"/>
      <c r="T201" s="264">
        <f t="shared" si="11"/>
        <v>0</v>
      </c>
      <c r="U201" s="437">
        <v>722</v>
      </c>
      <c r="V201" s="438">
        <v>389.74358974358972</v>
      </c>
      <c r="W201" s="439">
        <v>0</v>
      </c>
      <c r="X201" s="440">
        <v>121296</v>
      </c>
      <c r="Y201" s="262">
        <f t="shared" si="12"/>
        <v>0</v>
      </c>
    </row>
    <row r="202" spans="1:25" ht="16.5">
      <c r="A202" s="445" t="s">
        <v>300</v>
      </c>
      <c r="B202" s="434" t="s">
        <v>288</v>
      </c>
      <c r="C202" s="435">
        <v>57</v>
      </c>
      <c r="D202" s="435">
        <v>38</v>
      </c>
      <c r="E202" s="435">
        <v>57</v>
      </c>
      <c r="F202" s="434" t="s">
        <v>25</v>
      </c>
      <c r="G202" s="434" t="s">
        <v>11</v>
      </c>
      <c r="H202" s="434" t="s">
        <v>7</v>
      </c>
      <c r="I202" s="434" t="s">
        <v>1</v>
      </c>
      <c r="J202" s="434" t="s">
        <v>25</v>
      </c>
      <c r="K202" s="435">
        <v>1</v>
      </c>
      <c r="L202" s="435"/>
      <c r="M202" s="434" t="s">
        <v>25</v>
      </c>
      <c r="N202" s="436">
        <v>8</v>
      </c>
      <c r="O202" s="436">
        <v>7.8</v>
      </c>
      <c r="P202" s="436">
        <v>7.6</v>
      </c>
      <c r="Q202" s="436">
        <v>7.4</v>
      </c>
      <c r="R202" s="436">
        <v>7.2</v>
      </c>
      <c r="S202" s="263"/>
      <c r="T202" s="264">
        <f t="shared" si="11"/>
        <v>0</v>
      </c>
      <c r="U202" s="437">
        <v>764</v>
      </c>
      <c r="V202" s="438">
        <v>408.11965811965808</v>
      </c>
      <c r="W202" s="439">
        <v>3.5</v>
      </c>
      <c r="X202" s="440">
        <v>123462</v>
      </c>
      <c r="Y202" s="262">
        <f t="shared" si="12"/>
        <v>0</v>
      </c>
    </row>
    <row r="203" spans="1:25" ht="16.5">
      <c r="A203" s="445" t="s">
        <v>25</v>
      </c>
      <c r="B203" s="434" t="s">
        <v>342</v>
      </c>
      <c r="C203" s="435">
        <v>57</v>
      </c>
      <c r="D203" s="435">
        <v>39</v>
      </c>
      <c r="E203" s="435">
        <v>44</v>
      </c>
      <c r="F203" s="434" t="s">
        <v>25</v>
      </c>
      <c r="G203" s="434" t="s">
        <v>11</v>
      </c>
      <c r="H203" s="434" t="s">
        <v>7</v>
      </c>
      <c r="I203" s="434" t="s">
        <v>1</v>
      </c>
      <c r="J203" s="434" t="s">
        <v>25</v>
      </c>
      <c r="K203" s="435">
        <v>1</v>
      </c>
      <c r="L203" s="435"/>
      <c r="M203" s="434" t="s">
        <v>25</v>
      </c>
      <c r="N203" s="436">
        <v>6.48</v>
      </c>
      <c r="O203" s="436">
        <v>6.32</v>
      </c>
      <c r="P203" s="436">
        <v>6.16</v>
      </c>
      <c r="Q203" s="436">
        <v>5.99</v>
      </c>
      <c r="R203" s="436">
        <v>5.83</v>
      </c>
      <c r="S203" s="263"/>
      <c r="T203" s="264">
        <f t="shared" si="11"/>
        <v>0</v>
      </c>
      <c r="U203" s="437">
        <v>810</v>
      </c>
      <c r="V203" s="438">
        <v>489.48513415518488</v>
      </c>
      <c r="W203" s="441"/>
      <c r="X203" s="440">
        <v>97812</v>
      </c>
      <c r="Y203" s="262">
        <f t="shared" si="12"/>
        <v>0</v>
      </c>
    </row>
    <row r="204" spans="1:25" ht="16.5">
      <c r="A204" s="445" t="s">
        <v>25</v>
      </c>
      <c r="B204" s="434" t="s">
        <v>464</v>
      </c>
      <c r="C204" s="435">
        <v>57</v>
      </c>
      <c r="D204" s="435">
        <v>39</v>
      </c>
      <c r="E204" s="435">
        <v>46</v>
      </c>
      <c r="F204" s="434" t="s">
        <v>25</v>
      </c>
      <c r="G204" s="434" t="s">
        <v>11</v>
      </c>
      <c r="H204" s="434" t="s">
        <v>7</v>
      </c>
      <c r="I204" s="434" t="s">
        <v>1</v>
      </c>
      <c r="J204" s="434" t="s">
        <v>25</v>
      </c>
      <c r="K204" s="435">
        <v>1</v>
      </c>
      <c r="L204" s="435"/>
      <c r="M204" s="434" t="s">
        <v>25</v>
      </c>
      <c r="N204" s="436">
        <v>7.73</v>
      </c>
      <c r="O204" s="436">
        <v>7.54</v>
      </c>
      <c r="P204" s="436">
        <v>7.34</v>
      </c>
      <c r="Q204" s="436">
        <v>7.15</v>
      </c>
      <c r="R204" s="436">
        <v>6.96</v>
      </c>
      <c r="S204" s="263"/>
      <c r="T204" s="264">
        <f t="shared" si="11"/>
        <v>0</v>
      </c>
      <c r="U204" s="437">
        <v>620</v>
      </c>
      <c r="V204" s="438">
        <v>365.95443277062924</v>
      </c>
      <c r="W204" s="439">
        <v>0</v>
      </c>
      <c r="X204" s="440">
        <v>102258</v>
      </c>
      <c r="Y204" s="262">
        <f t="shared" si="12"/>
        <v>0</v>
      </c>
    </row>
    <row r="205" spans="1:25" ht="16.5">
      <c r="A205" s="445" t="s">
        <v>25</v>
      </c>
      <c r="B205" s="434" t="s">
        <v>343</v>
      </c>
      <c r="C205" s="435">
        <v>58</v>
      </c>
      <c r="D205" s="435">
        <v>38</v>
      </c>
      <c r="E205" s="435">
        <v>38</v>
      </c>
      <c r="F205" s="434" t="s">
        <v>25</v>
      </c>
      <c r="G205" s="434" t="s">
        <v>11</v>
      </c>
      <c r="H205" s="434" t="s">
        <v>7</v>
      </c>
      <c r="I205" s="434" t="s">
        <v>10</v>
      </c>
      <c r="J205" s="434" t="s">
        <v>25</v>
      </c>
      <c r="K205" s="435">
        <v>1</v>
      </c>
      <c r="L205" s="435"/>
      <c r="M205" s="434" t="s">
        <v>25</v>
      </c>
      <c r="N205" s="436">
        <v>7.78</v>
      </c>
      <c r="O205" s="436">
        <v>7.59</v>
      </c>
      <c r="P205" s="436">
        <v>7.39</v>
      </c>
      <c r="Q205" s="436">
        <v>7.2</v>
      </c>
      <c r="R205" s="436">
        <v>7</v>
      </c>
      <c r="S205" s="263"/>
      <c r="T205" s="264">
        <f t="shared" si="11"/>
        <v>0</v>
      </c>
      <c r="U205" s="437">
        <v>1131</v>
      </c>
      <c r="V205" s="438">
        <v>745.59957808688773</v>
      </c>
      <c r="W205" s="439">
        <v>0</v>
      </c>
      <c r="X205" s="440">
        <v>83752</v>
      </c>
      <c r="Y205" s="262">
        <f t="shared" si="12"/>
        <v>0</v>
      </c>
    </row>
    <row r="206" spans="1:25" ht="16.5">
      <c r="A206" s="445" t="s">
        <v>25</v>
      </c>
      <c r="B206" s="434" t="s">
        <v>426</v>
      </c>
      <c r="C206" s="435">
        <v>58</v>
      </c>
      <c r="D206" s="435">
        <v>38</v>
      </c>
      <c r="E206" s="435">
        <v>40</v>
      </c>
      <c r="F206" s="434" t="s">
        <v>25</v>
      </c>
      <c r="G206" s="434" t="s">
        <v>4</v>
      </c>
      <c r="H206" s="434" t="s">
        <v>7</v>
      </c>
      <c r="I206" s="434" t="s">
        <v>1</v>
      </c>
      <c r="J206" s="434" t="s">
        <v>25</v>
      </c>
      <c r="K206" s="435">
        <v>1</v>
      </c>
      <c r="L206" s="435"/>
      <c r="M206" s="434" t="s">
        <v>25</v>
      </c>
      <c r="N206" s="436">
        <v>7</v>
      </c>
      <c r="O206" s="436">
        <v>6.83</v>
      </c>
      <c r="P206" s="436">
        <v>6.65</v>
      </c>
      <c r="Q206" s="436">
        <v>6.48</v>
      </c>
      <c r="R206" s="436">
        <v>6.3</v>
      </c>
      <c r="S206" s="263"/>
      <c r="T206" s="264">
        <f t="shared" si="11"/>
        <v>0</v>
      </c>
      <c r="U206" s="437">
        <v>1136</v>
      </c>
      <c r="V206" s="438">
        <v>729.93638758594102</v>
      </c>
      <c r="W206" s="441"/>
      <c r="X206" s="440">
        <v>88160</v>
      </c>
      <c r="Y206" s="262">
        <f t="shared" si="12"/>
        <v>0</v>
      </c>
    </row>
    <row r="207" spans="1:25" ht="16.5">
      <c r="A207" s="445" t="s">
        <v>25</v>
      </c>
      <c r="B207" s="434" t="s">
        <v>427</v>
      </c>
      <c r="C207" s="435">
        <v>58</v>
      </c>
      <c r="D207" s="435">
        <v>39</v>
      </c>
      <c r="E207" s="435">
        <v>29</v>
      </c>
      <c r="F207" s="434" t="s">
        <v>25</v>
      </c>
      <c r="G207" s="434" t="s">
        <v>11</v>
      </c>
      <c r="H207" s="434" t="s">
        <v>7</v>
      </c>
      <c r="I207" s="434" t="s">
        <v>10</v>
      </c>
      <c r="J207" s="434" t="s">
        <v>25</v>
      </c>
      <c r="K207" s="435">
        <v>1</v>
      </c>
      <c r="L207" s="435"/>
      <c r="M207" s="434" t="s">
        <v>25</v>
      </c>
      <c r="N207" s="436">
        <v>7.1</v>
      </c>
      <c r="O207" s="436">
        <v>6.92</v>
      </c>
      <c r="P207" s="436">
        <v>6.74</v>
      </c>
      <c r="Q207" s="436">
        <v>6.57</v>
      </c>
      <c r="R207" s="436">
        <v>6.39</v>
      </c>
      <c r="S207" s="263"/>
      <c r="T207" s="264">
        <f t="shared" si="11"/>
        <v>0</v>
      </c>
      <c r="U207" s="437">
        <v>888</v>
      </c>
      <c r="V207" s="438">
        <v>646.71181996941232</v>
      </c>
      <c r="W207" s="439">
        <v>0</v>
      </c>
      <c r="X207" s="440">
        <v>65598</v>
      </c>
      <c r="Y207" s="262">
        <f t="shared" si="12"/>
        <v>0</v>
      </c>
    </row>
    <row r="208" spans="1:25" ht="16.5">
      <c r="A208" s="445" t="s">
        <v>25</v>
      </c>
      <c r="B208" s="434" t="s">
        <v>312</v>
      </c>
      <c r="C208" s="435">
        <v>58</v>
      </c>
      <c r="D208" s="435">
        <v>39</v>
      </c>
      <c r="E208" s="435">
        <v>39</v>
      </c>
      <c r="F208" s="434" t="s">
        <v>25</v>
      </c>
      <c r="G208" s="434" t="s">
        <v>11</v>
      </c>
      <c r="H208" s="434" t="s">
        <v>7</v>
      </c>
      <c r="I208" s="434" t="s">
        <v>10</v>
      </c>
      <c r="J208" s="434" t="s">
        <v>25</v>
      </c>
      <c r="K208" s="435">
        <v>1</v>
      </c>
      <c r="L208" s="435"/>
      <c r="M208" s="434" t="s">
        <v>25</v>
      </c>
      <c r="N208" s="436">
        <v>8.4</v>
      </c>
      <c r="O208" s="436">
        <v>8.19</v>
      </c>
      <c r="P208" s="436">
        <v>7.98</v>
      </c>
      <c r="Q208" s="436">
        <v>7.77</v>
      </c>
      <c r="R208" s="436">
        <v>7.56</v>
      </c>
      <c r="S208" s="263"/>
      <c r="T208" s="264">
        <f t="shared" si="11"/>
        <v>0</v>
      </c>
      <c r="U208" s="437">
        <v>1050</v>
      </c>
      <c r="V208" s="438">
        <v>667.89644424654921</v>
      </c>
      <c r="W208" s="439">
        <v>0</v>
      </c>
      <c r="X208" s="440">
        <v>88218</v>
      </c>
      <c r="Y208" s="262">
        <f t="shared" si="12"/>
        <v>0</v>
      </c>
    </row>
    <row r="209" spans="1:25" ht="16.5">
      <c r="A209" s="445" t="s">
        <v>25</v>
      </c>
      <c r="B209" s="434" t="s">
        <v>428</v>
      </c>
      <c r="C209" s="435">
        <v>58</v>
      </c>
      <c r="D209" s="435">
        <v>39</v>
      </c>
      <c r="E209" s="435">
        <v>41</v>
      </c>
      <c r="F209" s="434" t="s">
        <v>25</v>
      </c>
      <c r="G209" s="434" t="s">
        <v>11</v>
      </c>
      <c r="H209" s="434" t="s">
        <v>7</v>
      </c>
      <c r="I209" s="434" t="s">
        <v>10</v>
      </c>
      <c r="J209" s="434" t="s">
        <v>25</v>
      </c>
      <c r="K209" s="435">
        <v>1</v>
      </c>
      <c r="L209" s="435"/>
      <c r="M209" s="434" t="s">
        <v>25</v>
      </c>
      <c r="N209" s="436">
        <v>9.5399999999999991</v>
      </c>
      <c r="O209" s="436">
        <v>9.3000000000000007</v>
      </c>
      <c r="P209" s="436">
        <v>9.06</v>
      </c>
      <c r="Q209" s="436">
        <v>8.82</v>
      </c>
      <c r="R209" s="436">
        <v>8.59</v>
      </c>
      <c r="S209" s="263"/>
      <c r="T209" s="264">
        <f t="shared" si="11"/>
        <v>0</v>
      </c>
      <c r="U209" s="437">
        <v>1192</v>
      </c>
      <c r="V209" s="438">
        <v>739.49996898070594</v>
      </c>
      <c r="W209" s="439">
        <v>6</v>
      </c>
      <c r="X209" s="440">
        <v>92742</v>
      </c>
      <c r="Y209" s="262">
        <f t="shared" si="12"/>
        <v>0</v>
      </c>
    </row>
    <row r="210" spans="1:25" ht="16.5">
      <c r="A210" s="445" t="s">
        <v>300</v>
      </c>
      <c r="B210" s="434" t="s">
        <v>272</v>
      </c>
      <c r="C210" s="435">
        <v>59</v>
      </c>
      <c r="D210" s="435">
        <v>29</v>
      </c>
      <c r="E210" s="435">
        <v>32</v>
      </c>
      <c r="F210" s="434" t="s">
        <v>25</v>
      </c>
      <c r="G210" s="434" t="s">
        <v>11</v>
      </c>
      <c r="H210" s="434" t="s">
        <v>7</v>
      </c>
      <c r="I210" s="434" t="s">
        <v>1</v>
      </c>
      <c r="J210" s="434" t="s">
        <v>25</v>
      </c>
      <c r="K210" s="435">
        <v>1</v>
      </c>
      <c r="L210" s="435"/>
      <c r="M210" s="434" t="s">
        <v>25</v>
      </c>
      <c r="N210" s="436">
        <v>4.67</v>
      </c>
      <c r="O210" s="436">
        <v>4.55</v>
      </c>
      <c r="P210" s="436">
        <v>4.4400000000000004</v>
      </c>
      <c r="Q210" s="436">
        <v>4.32</v>
      </c>
      <c r="R210" s="436">
        <v>4.2</v>
      </c>
      <c r="S210" s="263"/>
      <c r="T210" s="264">
        <f t="shared" si="11"/>
        <v>0</v>
      </c>
      <c r="U210" s="437">
        <v>584</v>
      </c>
      <c r="V210" s="438">
        <v>520.40634468009262</v>
      </c>
      <c r="W210" s="439">
        <v>3.3</v>
      </c>
      <c r="X210" s="440">
        <v>54752</v>
      </c>
      <c r="Y210" s="262">
        <f t="shared" si="12"/>
        <v>0</v>
      </c>
    </row>
    <row r="211" spans="1:25" ht="16.5">
      <c r="A211" s="445" t="s">
        <v>25</v>
      </c>
      <c r="B211" s="434" t="s">
        <v>344</v>
      </c>
      <c r="C211" s="435">
        <v>59</v>
      </c>
      <c r="D211" s="435">
        <v>38</v>
      </c>
      <c r="E211" s="435">
        <v>38</v>
      </c>
      <c r="F211" s="434" t="s">
        <v>25</v>
      </c>
      <c r="G211" s="434" t="s">
        <v>11</v>
      </c>
      <c r="H211" s="434" t="s">
        <v>7</v>
      </c>
      <c r="I211" s="434" t="s">
        <v>10</v>
      </c>
      <c r="J211" s="434" t="s">
        <v>25</v>
      </c>
      <c r="K211" s="435">
        <v>1</v>
      </c>
      <c r="L211" s="435"/>
      <c r="M211" s="434" t="s">
        <v>25</v>
      </c>
      <c r="N211" s="436">
        <v>9.24</v>
      </c>
      <c r="O211" s="436">
        <v>9.01</v>
      </c>
      <c r="P211" s="436">
        <v>8.7799999999999994</v>
      </c>
      <c r="Q211" s="436">
        <v>8.5500000000000007</v>
      </c>
      <c r="R211" s="436">
        <v>8.32</v>
      </c>
      <c r="S211" s="263"/>
      <c r="T211" s="264">
        <f t="shared" si="11"/>
        <v>0</v>
      </c>
      <c r="U211" s="437">
        <v>2310</v>
      </c>
      <c r="V211" s="438">
        <v>1507.537688442211</v>
      </c>
      <c r="W211" s="439">
        <v>0</v>
      </c>
      <c r="X211" s="440">
        <v>85196</v>
      </c>
      <c r="Y211" s="262">
        <f t="shared" si="12"/>
        <v>0</v>
      </c>
    </row>
    <row r="212" spans="1:25" ht="16.5">
      <c r="A212" s="445" t="s">
        <v>25</v>
      </c>
      <c r="B212" s="434" t="s">
        <v>313</v>
      </c>
      <c r="C212" s="435">
        <v>59</v>
      </c>
      <c r="D212" s="435">
        <v>39</v>
      </c>
      <c r="E212" s="435">
        <v>61</v>
      </c>
      <c r="F212" s="434" t="s">
        <v>25</v>
      </c>
      <c r="G212" s="434" t="s">
        <v>11</v>
      </c>
      <c r="H212" s="434" t="s">
        <v>7</v>
      </c>
      <c r="I212" s="434" t="s">
        <v>10</v>
      </c>
      <c r="J212" s="434" t="s">
        <v>25</v>
      </c>
      <c r="K212" s="435">
        <v>1</v>
      </c>
      <c r="L212" s="435"/>
      <c r="M212" s="434" t="s">
        <v>25</v>
      </c>
      <c r="N212" s="436">
        <v>11</v>
      </c>
      <c r="O212" s="436">
        <v>10.73</v>
      </c>
      <c r="P212" s="436">
        <v>10.45</v>
      </c>
      <c r="Q212" s="436">
        <v>10.18</v>
      </c>
      <c r="R212" s="436">
        <v>9.9</v>
      </c>
      <c r="S212" s="263"/>
      <c r="T212" s="264">
        <f t="shared" si="11"/>
        <v>0</v>
      </c>
      <c r="U212" s="437">
        <v>1370</v>
      </c>
      <c r="V212" s="438">
        <v>674.84360376336144</v>
      </c>
      <c r="W212" s="439">
        <v>6.5</v>
      </c>
      <c r="X212" s="440">
        <v>140361</v>
      </c>
      <c r="Y212" s="262">
        <f t="shared" si="12"/>
        <v>0</v>
      </c>
    </row>
    <row r="213" spans="1:25" ht="16.5">
      <c r="A213" s="445" t="s">
        <v>25</v>
      </c>
      <c r="B213" s="434" t="s">
        <v>429</v>
      </c>
      <c r="C213" s="435">
        <v>59</v>
      </c>
      <c r="D213" s="435">
        <v>49</v>
      </c>
      <c r="E213" s="435">
        <v>50</v>
      </c>
      <c r="F213" s="434" t="s">
        <v>25</v>
      </c>
      <c r="G213" s="434" t="s">
        <v>11</v>
      </c>
      <c r="H213" s="434" t="s">
        <v>7</v>
      </c>
      <c r="I213" s="434" t="s">
        <v>1</v>
      </c>
      <c r="J213" s="434" t="s">
        <v>25</v>
      </c>
      <c r="K213" s="435">
        <v>1</v>
      </c>
      <c r="L213" s="435"/>
      <c r="M213" s="434" t="s">
        <v>25</v>
      </c>
      <c r="N213" s="436">
        <v>10</v>
      </c>
      <c r="O213" s="436">
        <v>9.75</v>
      </c>
      <c r="P213" s="436">
        <v>9.5</v>
      </c>
      <c r="Q213" s="436">
        <v>9.25</v>
      </c>
      <c r="R213" s="436">
        <v>9</v>
      </c>
      <c r="S213" s="263"/>
      <c r="T213" s="264">
        <f t="shared" si="11"/>
        <v>0</v>
      </c>
      <c r="U213" s="437">
        <v>812</v>
      </c>
      <c r="V213" s="438">
        <v>367.42081447963801</v>
      </c>
      <c r="W213" s="439">
        <v>0</v>
      </c>
      <c r="X213" s="440">
        <v>144550</v>
      </c>
      <c r="Y213" s="262">
        <f t="shared" si="12"/>
        <v>0</v>
      </c>
    </row>
    <row r="214" spans="1:25" ht="16.5">
      <c r="A214" s="445" t="s">
        <v>300</v>
      </c>
      <c r="B214" s="434" t="s">
        <v>303</v>
      </c>
      <c r="C214" s="435">
        <v>60</v>
      </c>
      <c r="D214" s="435">
        <v>30</v>
      </c>
      <c r="E214" s="435">
        <v>8</v>
      </c>
      <c r="F214" s="434" t="s">
        <v>25</v>
      </c>
      <c r="G214" s="434" t="s">
        <v>3</v>
      </c>
      <c r="H214" s="434" t="s">
        <v>7</v>
      </c>
      <c r="I214" s="434" t="s">
        <v>1</v>
      </c>
      <c r="J214" s="434" t="s">
        <v>25</v>
      </c>
      <c r="K214" s="435">
        <v>1</v>
      </c>
      <c r="L214" s="435"/>
      <c r="M214" s="434" t="s">
        <v>25</v>
      </c>
      <c r="N214" s="436">
        <v>8.2200000000000006</v>
      </c>
      <c r="O214" s="436">
        <v>8.01</v>
      </c>
      <c r="P214" s="436">
        <v>7.81</v>
      </c>
      <c r="Q214" s="436">
        <v>7.6</v>
      </c>
      <c r="R214" s="436">
        <v>7.4</v>
      </c>
      <c r="S214" s="263"/>
      <c r="T214" s="264">
        <f t="shared" si="11"/>
        <v>0</v>
      </c>
      <c r="U214" s="437">
        <v>358</v>
      </c>
      <c r="V214" s="438">
        <v>496.18849618849617</v>
      </c>
      <c r="W214" s="439">
        <v>0</v>
      </c>
      <c r="X214" s="440">
        <v>14400</v>
      </c>
      <c r="Y214" s="262">
        <f t="shared" si="12"/>
        <v>0</v>
      </c>
    </row>
    <row r="215" spans="1:25" ht="16.5">
      <c r="A215" s="445" t="s">
        <v>25</v>
      </c>
      <c r="B215" s="434" t="s">
        <v>430</v>
      </c>
      <c r="C215" s="435">
        <v>60</v>
      </c>
      <c r="D215" s="435">
        <v>30</v>
      </c>
      <c r="E215" s="435">
        <v>8</v>
      </c>
      <c r="F215" s="434" t="s">
        <v>25</v>
      </c>
      <c r="G215" s="434" t="s">
        <v>3</v>
      </c>
      <c r="H215" s="434" t="s">
        <v>1</v>
      </c>
      <c r="I215" s="434" t="s">
        <v>1</v>
      </c>
      <c r="J215" s="434" t="s">
        <v>25</v>
      </c>
      <c r="K215" s="435">
        <v>1</v>
      </c>
      <c r="L215" s="435"/>
      <c r="M215" s="434" t="s">
        <v>25</v>
      </c>
      <c r="N215" s="436">
        <v>2.2000000000000002</v>
      </c>
      <c r="O215" s="436">
        <v>2.15</v>
      </c>
      <c r="P215" s="436">
        <v>2.09</v>
      </c>
      <c r="Q215" s="436">
        <v>2.04</v>
      </c>
      <c r="R215" s="436">
        <v>1.98</v>
      </c>
      <c r="S215" s="263"/>
      <c r="T215" s="264">
        <f t="shared" si="11"/>
        <v>0</v>
      </c>
      <c r="U215" s="437">
        <v>123</v>
      </c>
      <c r="V215" s="438">
        <v>170.47817047817048</v>
      </c>
      <c r="W215" s="439">
        <v>0</v>
      </c>
      <c r="X215" s="440">
        <v>14400</v>
      </c>
      <c r="Y215" s="262">
        <f t="shared" si="12"/>
        <v>0</v>
      </c>
    </row>
    <row r="216" spans="1:25" ht="16.5">
      <c r="A216" s="445" t="s">
        <v>300</v>
      </c>
      <c r="B216" s="434" t="s">
        <v>302</v>
      </c>
      <c r="C216" s="435">
        <v>60</v>
      </c>
      <c r="D216" s="435">
        <v>30</v>
      </c>
      <c r="E216" s="435">
        <v>8</v>
      </c>
      <c r="F216" s="434" t="s">
        <v>25</v>
      </c>
      <c r="G216" s="434" t="s">
        <v>3</v>
      </c>
      <c r="H216" s="434" t="s">
        <v>7</v>
      </c>
      <c r="I216" s="434" t="s">
        <v>1</v>
      </c>
      <c r="J216" s="434" t="s">
        <v>25</v>
      </c>
      <c r="K216" s="435">
        <v>1</v>
      </c>
      <c r="L216" s="435"/>
      <c r="M216" s="434" t="s">
        <v>25</v>
      </c>
      <c r="N216" s="436">
        <v>6.02</v>
      </c>
      <c r="O216" s="436">
        <v>5.87</v>
      </c>
      <c r="P216" s="436">
        <v>5.72</v>
      </c>
      <c r="Q216" s="436">
        <v>5.57</v>
      </c>
      <c r="R216" s="436">
        <v>5.42</v>
      </c>
      <c r="S216" s="263"/>
      <c r="T216" s="264">
        <f t="shared" si="11"/>
        <v>0</v>
      </c>
      <c r="U216" s="437">
        <v>270</v>
      </c>
      <c r="V216" s="438">
        <v>374.2203742203742</v>
      </c>
      <c r="W216" s="439">
        <v>0</v>
      </c>
      <c r="X216" s="440">
        <v>14400</v>
      </c>
      <c r="Y216" s="262">
        <f t="shared" si="12"/>
        <v>0</v>
      </c>
    </row>
    <row r="217" spans="1:25" ht="16.5">
      <c r="A217" s="445" t="s">
        <v>300</v>
      </c>
      <c r="B217" s="434" t="s">
        <v>273</v>
      </c>
      <c r="C217" s="435">
        <v>60</v>
      </c>
      <c r="D217" s="435">
        <v>40</v>
      </c>
      <c r="E217" s="435">
        <v>40</v>
      </c>
      <c r="F217" s="434" t="s">
        <v>25</v>
      </c>
      <c r="G217" s="434" t="s">
        <v>3</v>
      </c>
      <c r="H217" s="434" t="s">
        <v>7</v>
      </c>
      <c r="I217" s="434" t="s">
        <v>1</v>
      </c>
      <c r="J217" s="434" t="s">
        <v>25</v>
      </c>
      <c r="K217" s="435">
        <v>1</v>
      </c>
      <c r="L217" s="435"/>
      <c r="M217" s="434" t="s">
        <v>25</v>
      </c>
      <c r="N217" s="436">
        <v>14.82</v>
      </c>
      <c r="O217" s="436">
        <v>14.45</v>
      </c>
      <c r="P217" s="436">
        <v>14.08</v>
      </c>
      <c r="Q217" s="436">
        <v>13.71</v>
      </c>
      <c r="R217" s="436">
        <v>13.34</v>
      </c>
      <c r="S217" s="263"/>
      <c r="T217" s="264">
        <f t="shared" si="11"/>
        <v>0</v>
      </c>
      <c r="U217" s="437">
        <v>636</v>
      </c>
      <c r="V217" s="438">
        <v>383.01716350496838</v>
      </c>
      <c r="W217" s="439">
        <v>4</v>
      </c>
      <c r="X217" s="440">
        <v>96000</v>
      </c>
      <c r="Y217" s="262">
        <f t="shared" si="12"/>
        <v>0</v>
      </c>
    </row>
    <row r="218" spans="1:25" ht="16.5">
      <c r="A218" s="445" t="s">
        <v>25</v>
      </c>
      <c r="B218" s="434" t="s">
        <v>431</v>
      </c>
      <c r="C218" s="435">
        <v>60</v>
      </c>
      <c r="D218" s="435">
        <v>40</v>
      </c>
      <c r="E218" s="435">
        <v>45</v>
      </c>
      <c r="F218" s="434" t="s">
        <v>25</v>
      </c>
      <c r="G218" s="434" t="s">
        <v>4</v>
      </c>
      <c r="H218" s="434" t="s">
        <v>7</v>
      </c>
      <c r="I218" s="434" t="s">
        <v>10</v>
      </c>
      <c r="J218" s="434" t="s">
        <v>25</v>
      </c>
      <c r="K218" s="435">
        <v>1</v>
      </c>
      <c r="L218" s="435"/>
      <c r="M218" s="434" t="s">
        <v>25</v>
      </c>
      <c r="N218" s="436">
        <v>9.3000000000000007</v>
      </c>
      <c r="O218" s="436">
        <v>9.07</v>
      </c>
      <c r="P218" s="436">
        <v>8.83</v>
      </c>
      <c r="Q218" s="436">
        <v>8.6</v>
      </c>
      <c r="R218" s="436">
        <v>8.3699999999999992</v>
      </c>
      <c r="S218" s="263"/>
      <c r="T218" s="264">
        <f t="shared" si="11"/>
        <v>0</v>
      </c>
      <c r="U218" s="437">
        <v>1162</v>
      </c>
      <c r="V218" s="438">
        <v>659.10380034032903</v>
      </c>
      <c r="W218" s="439">
        <v>0</v>
      </c>
      <c r="X218" s="440">
        <v>108000</v>
      </c>
      <c r="Y218" s="262">
        <f t="shared" si="12"/>
        <v>0</v>
      </c>
    </row>
    <row r="219" spans="1:25" ht="16.5">
      <c r="A219" s="445" t="s">
        <v>25</v>
      </c>
      <c r="B219" s="434" t="s">
        <v>318</v>
      </c>
      <c r="C219" s="435">
        <v>60</v>
      </c>
      <c r="D219" s="435">
        <v>40</v>
      </c>
      <c r="E219" s="435">
        <v>49</v>
      </c>
      <c r="F219" s="434" t="s">
        <v>25</v>
      </c>
      <c r="G219" s="434" t="s">
        <v>4</v>
      </c>
      <c r="H219" s="434" t="s">
        <v>7</v>
      </c>
      <c r="I219" s="434" t="s">
        <v>1</v>
      </c>
      <c r="J219" s="434" t="s">
        <v>25</v>
      </c>
      <c r="K219" s="435">
        <v>1</v>
      </c>
      <c r="L219" s="435"/>
      <c r="M219" s="434" t="s">
        <v>25</v>
      </c>
      <c r="N219" s="436">
        <v>10.3</v>
      </c>
      <c r="O219" s="436">
        <v>10.039999999999999</v>
      </c>
      <c r="P219" s="436">
        <v>9.7799999999999994</v>
      </c>
      <c r="Q219" s="436">
        <v>9.5299999999999994</v>
      </c>
      <c r="R219" s="436">
        <v>9.27</v>
      </c>
      <c r="S219" s="263"/>
      <c r="T219" s="264">
        <f t="shared" si="11"/>
        <v>0</v>
      </c>
      <c r="U219" s="437">
        <v>1288</v>
      </c>
      <c r="V219" s="438">
        <v>698.10298102981028</v>
      </c>
      <c r="W219" s="439">
        <v>0</v>
      </c>
      <c r="X219" s="440">
        <v>117600</v>
      </c>
      <c r="Y219" s="262">
        <f t="shared" si="12"/>
        <v>0</v>
      </c>
    </row>
    <row r="220" spans="1:25" ht="16.5">
      <c r="A220" s="445" t="s">
        <v>25</v>
      </c>
      <c r="B220" s="434" t="s">
        <v>432</v>
      </c>
      <c r="C220" s="435">
        <v>60</v>
      </c>
      <c r="D220" s="435">
        <v>41</v>
      </c>
      <c r="E220" s="435">
        <v>53</v>
      </c>
      <c r="F220" s="434" t="s">
        <v>25</v>
      </c>
      <c r="G220" s="434" t="s">
        <v>11</v>
      </c>
      <c r="H220" s="434" t="s">
        <v>7</v>
      </c>
      <c r="I220" s="434" t="s">
        <v>1</v>
      </c>
      <c r="J220" s="434" t="s">
        <v>25</v>
      </c>
      <c r="K220" s="435">
        <v>1</v>
      </c>
      <c r="L220" s="435"/>
      <c r="M220" s="434" t="s">
        <v>25</v>
      </c>
      <c r="N220" s="436">
        <v>8.64</v>
      </c>
      <c r="O220" s="436">
        <v>8.42</v>
      </c>
      <c r="P220" s="436">
        <v>8.2100000000000009</v>
      </c>
      <c r="Q220" s="436">
        <v>7.99</v>
      </c>
      <c r="R220" s="436">
        <v>7.78</v>
      </c>
      <c r="S220" s="263"/>
      <c r="T220" s="264">
        <f t="shared" si="11"/>
        <v>0</v>
      </c>
      <c r="U220" s="437">
        <v>1080</v>
      </c>
      <c r="V220" s="438">
        <v>549.1990846681922</v>
      </c>
      <c r="W220" s="439">
        <v>0</v>
      </c>
      <c r="X220" s="440">
        <v>130380</v>
      </c>
      <c r="Y220" s="262">
        <f t="shared" si="12"/>
        <v>0</v>
      </c>
    </row>
    <row r="221" spans="1:25" ht="16.5">
      <c r="A221" s="445" t="s">
        <v>300</v>
      </c>
      <c r="B221" s="434" t="s">
        <v>274</v>
      </c>
      <c r="C221" s="435">
        <v>60</v>
      </c>
      <c r="D221" s="435">
        <v>50</v>
      </c>
      <c r="E221" s="435">
        <v>50</v>
      </c>
      <c r="F221" s="434" t="s">
        <v>25</v>
      </c>
      <c r="G221" s="434" t="s">
        <v>3</v>
      </c>
      <c r="H221" s="434" t="s">
        <v>7</v>
      </c>
      <c r="I221" s="434" t="s">
        <v>1</v>
      </c>
      <c r="J221" s="434" t="s">
        <v>25</v>
      </c>
      <c r="K221" s="435">
        <v>1</v>
      </c>
      <c r="L221" s="435"/>
      <c r="M221" s="434" t="s">
        <v>25</v>
      </c>
      <c r="N221" s="436">
        <v>18.21</v>
      </c>
      <c r="O221" s="436">
        <v>17.75</v>
      </c>
      <c r="P221" s="436">
        <v>17.3</v>
      </c>
      <c r="Q221" s="436">
        <v>16.84</v>
      </c>
      <c r="R221" s="436">
        <v>16.39</v>
      </c>
      <c r="S221" s="263"/>
      <c r="T221" s="264">
        <f t="shared" si="11"/>
        <v>0</v>
      </c>
      <c r="U221" s="437">
        <v>896</v>
      </c>
      <c r="V221" s="438">
        <v>394.27942794279431</v>
      </c>
      <c r="W221" s="439">
        <v>3.3</v>
      </c>
      <c r="X221" s="440">
        <v>150000</v>
      </c>
      <c r="Y221" s="262">
        <f t="shared" si="12"/>
        <v>0</v>
      </c>
    </row>
    <row r="222" spans="1:25" ht="16.5">
      <c r="A222" s="445" t="s">
        <v>25</v>
      </c>
      <c r="B222" s="434" t="s">
        <v>433</v>
      </c>
      <c r="C222" s="435">
        <v>64</v>
      </c>
      <c r="D222" s="435">
        <v>36</v>
      </c>
      <c r="E222" s="435">
        <v>60</v>
      </c>
      <c r="F222" s="434" t="s">
        <v>25</v>
      </c>
      <c r="G222" s="434" t="s">
        <v>11</v>
      </c>
      <c r="H222" s="434" t="s">
        <v>7</v>
      </c>
      <c r="I222" s="434" t="s">
        <v>10</v>
      </c>
      <c r="J222" s="434" t="s">
        <v>25</v>
      </c>
      <c r="K222" s="435">
        <v>1</v>
      </c>
      <c r="L222" s="435"/>
      <c r="M222" s="434" t="s">
        <v>25</v>
      </c>
      <c r="N222" s="436">
        <v>13</v>
      </c>
      <c r="O222" s="436">
        <v>12.68</v>
      </c>
      <c r="P222" s="436">
        <v>12.35</v>
      </c>
      <c r="Q222" s="436">
        <v>12.03</v>
      </c>
      <c r="R222" s="436">
        <v>11.7</v>
      </c>
      <c r="S222" s="263"/>
      <c r="T222" s="264">
        <f t="shared" si="11"/>
        <v>0</v>
      </c>
      <c r="U222" s="437">
        <v>1730</v>
      </c>
      <c r="V222" s="438">
        <v>870.00251445813433</v>
      </c>
      <c r="W222" s="439">
        <v>0</v>
      </c>
      <c r="X222" s="440">
        <v>138240</v>
      </c>
      <c r="Y222" s="262">
        <f t="shared" si="12"/>
        <v>0</v>
      </c>
    </row>
    <row r="223" spans="1:25" ht="16.5">
      <c r="A223" s="445" t="s">
        <v>25</v>
      </c>
      <c r="B223" s="434" t="s">
        <v>434</v>
      </c>
      <c r="C223" s="435">
        <v>64</v>
      </c>
      <c r="D223" s="435">
        <v>39</v>
      </c>
      <c r="E223" s="435">
        <v>74</v>
      </c>
      <c r="F223" s="434" t="s">
        <v>25</v>
      </c>
      <c r="G223" s="434" t="s">
        <v>11</v>
      </c>
      <c r="H223" s="434" t="s">
        <v>7</v>
      </c>
      <c r="I223" s="434" t="s">
        <v>10</v>
      </c>
      <c r="J223" s="434" t="s">
        <v>25</v>
      </c>
      <c r="K223" s="435">
        <v>1</v>
      </c>
      <c r="L223" s="435"/>
      <c r="M223" s="434" t="s">
        <v>25</v>
      </c>
      <c r="N223" s="436">
        <v>17</v>
      </c>
      <c r="O223" s="436">
        <v>16.579999999999998</v>
      </c>
      <c r="P223" s="436">
        <v>16.149999999999999</v>
      </c>
      <c r="Q223" s="436">
        <v>15.73</v>
      </c>
      <c r="R223" s="436">
        <v>15.3</v>
      </c>
      <c r="S223" s="263"/>
      <c r="T223" s="264">
        <f t="shared" si="11"/>
        <v>0</v>
      </c>
      <c r="U223" s="437">
        <v>2428</v>
      </c>
      <c r="V223" s="438">
        <v>1009.3955267315207</v>
      </c>
      <c r="W223" s="439">
        <v>0</v>
      </c>
      <c r="X223" s="440">
        <v>184704</v>
      </c>
      <c r="Y223" s="262">
        <f t="shared" si="12"/>
        <v>0</v>
      </c>
    </row>
    <row r="224" spans="1:25" ht="16.5">
      <c r="A224" s="445" t="s">
        <v>25</v>
      </c>
      <c r="B224" s="434" t="s">
        <v>435</v>
      </c>
      <c r="C224" s="435">
        <v>64</v>
      </c>
      <c r="D224" s="435">
        <v>40</v>
      </c>
      <c r="E224" s="435">
        <v>68</v>
      </c>
      <c r="F224" s="434" t="s">
        <v>25</v>
      </c>
      <c r="G224" s="434" t="s">
        <v>11</v>
      </c>
      <c r="H224" s="434" t="s">
        <v>7</v>
      </c>
      <c r="I224" s="434" t="s">
        <v>10</v>
      </c>
      <c r="J224" s="434" t="s">
        <v>25</v>
      </c>
      <c r="K224" s="435">
        <v>1</v>
      </c>
      <c r="L224" s="435"/>
      <c r="M224" s="434" t="s">
        <v>25</v>
      </c>
      <c r="N224" s="436">
        <v>15.39</v>
      </c>
      <c r="O224" s="436">
        <v>15.01</v>
      </c>
      <c r="P224" s="436">
        <v>14.62</v>
      </c>
      <c r="Q224" s="436">
        <v>14.24</v>
      </c>
      <c r="R224" s="436">
        <v>13.85</v>
      </c>
      <c r="S224" s="263"/>
      <c r="T224" s="264">
        <f t="shared" si="11"/>
        <v>0</v>
      </c>
      <c r="U224" s="437">
        <v>2198</v>
      </c>
      <c r="V224" s="438">
        <v>946.72007580652109</v>
      </c>
      <c r="W224" s="439">
        <v>0</v>
      </c>
      <c r="X224" s="440">
        <v>174080</v>
      </c>
      <c r="Y224" s="262">
        <f t="shared" si="12"/>
        <v>0</v>
      </c>
    </row>
    <row r="225" spans="1:25" ht="16.5">
      <c r="A225" s="445" t="s">
        <v>25</v>
      </c>
      <c r="B225" s="434" t="s">
        <v>436</v>
      </c>
      <c r="C225" s="435">
        <v>64</v>
      </c>
      <c r="D225" s="435">
        <v>43</v>
      </c>
      <c r="E225" s="441"/>
      <c r="F225" s="434" t="s">
        <v>25</v>
      </c>
      <c r="G225" s="434" t="s">
        <v>11</v>
      </c>
      <c r="H225" s="434" t="s">
        <v>437</v>
      </c>
      <c r="I225" s="434" t="s">
        <v>1</v>
      </c>
      <c r="J225" s="434" t="s">
        <v>25</v>
      </c>
      <c r="K225" s="435">
        <v>1</v>
      </c>
      <c r="L225" s="435"/>
      <c r="M225" s="434" t="s">
        <v>25</v>
      </c>
      <c r="N225" s="436">
        <v>0.5</v>
      </c>
      <c r="O225" s="436">
        <v>0.49</v>
      </c>
      <c r="P225" s="436">
        <v>0.47</v>
      </c>
      <c r="Q225" s="436">
        <v>0.46</v>
      </c>
      <c r="R225" s="436">
        <v>0.45</v>
      </c>
      <c r="S225" s="263"/>
      <c r="T225" s="264">
        <f t="shared" ref="T225:T240" si="13">(CHOOSE(((($L225&gt;=(0))+($L225&gt;=($O$6))+($L225&gt;=($P$6))+($L225&gt;=($Q$6))+($L225&gt;=($R$6)))),N225,O225,P225,Q225,R225))*L225</f>
        <v>0</v>
      </c>
      <c r="U225" s="437">
        <v>118</v>
      </c>
      <c r="V225" s="441"/>
      <c r="W225" s="439">
        <v>0</v>
      </c>
      <c r="X225" s="441"/>
      <c r="Y225" s="262">
        <f t="shared" ref="Y225:Y240" si="14">(C225*D225*E225)-X225</f>
        <v>0</v>
      </c>
    </row>
    <row r="226" spans="1:25" ht="16.5">
      <c r="A226" s="445" t="s">
        <v>25</v>
      </c>
      <c r="B226" s="434" t="s">
        <v>438</v>
      </c>
      <c r="C226" s="435">
        <v>65</v>
      </c>
      <c r="D226" s="435">
        <v>30</v>
      </c>
      <c r="E226" s="435">
        <v>63</v>
      </c>
      <c r="F226" s="434" t="s">
        <v>25</v>
      </c>
      <c r="G226" s="434" t="s">
        <v>11</v>
      </c>
      <c r="H226" s="434" t="s">
        <v>7</v>
      </c>
      <c r="I226" s="434" t="s">
        <v>1</v>
      </c>
      <c r="J226" s="434" t="s">
        <v>25</v>
      </c>
      <c r="K226" s="435">
        <v>1</v>
      </c>
      <c r="L226" s="435"/>
      <c r="M226" s="434" t="s">
        <v>25</v>
      </c>
      <c r="N226" s="436">
        <v>10.08</v>
      </c>
      <c r="O226" s="436">
        <v>9.83</v>
      </c>
      <c r="P226" s="436">
        <v>9.58</v>
      </c>
      <c r="Q226" s="436">
        <v>9.32</v>
      </c>
      <c r="R226" s="436">
        <v>9.07</v>
      </c>
      <c r="S226" s="263"/>
      <c r="T226" s="264">
        <f t="shared" si="13"/>
        <v>0</v>
      </c>
      <c r="U226" s="437">
        <v>1440</v>
      </c>
      <c r="V226" s="438">
        <v>785.59738134206225</v>
      </c>
      <c r="W226" s="439">
        <v>0</v>
      </c>
      <c r="X226" s="440">
        <v>122850</v>
      </c>
      <c r="Y226" s="262">
        <f t="shared" si="14"/>
        <v>0</v>
      </c>
    </row>
    <row r="227" spans="1:25" ht="16.5">
      <c r="A227" s="445" t="s">
        <v>25</v>
      </c>
      <c r="B227" s="434" t="s">
        <v>439</v>
      </c>
      <c r="C227" s="435">
        <v>65</v>
      </c>
      <c r="D227" s="435">
        <v>32</v>
      </c>
      <c r="E227" s="435">
        <v>63</v>
      </c>
      <c r="F227" s="434" t="s">
        <v>25</v>
      </c>
      <c r="G227" s="434" t="s">
        <v>11</v>
      </c>
      <c r="H227" s="434" t="s">
        <v>7</v>
      </c>
      <c r="I227" s="434" t="s">
        <v>10</v>
      </c>
      <c r="J227" s="434" t="s">
        <v>25</v>
      </c>
      <c r="K227" s="435">
        <v>1</v>
      </c>
      <c r="L227" s="435"/>
      <c r="M227" s="434" t="s">
        <v>25</v>
      </c>
      <c r="N227" s="436">
        <v>11.66</v>
      </c>
      <c r="O227" s="436">
        <v>11.37</v>
      </c>
      <c r="P227" s="436">
        <v>11.08</v>
      </c>
      <c r="Q227" s="436">
        <v>10.79</v>
      </c>
      <c r="R227" s="436">
        <v>10.49</v>
      </c>
      <c r="S227" s="263"/>
      <c r="T227" s="264">
        <f t="shared" si="13"/>
        <v>0</v>
      </c>
      <c r="U227" s="437">
        <v>1666</v>
      </c>
      <c r="V227" s="438">
        <v>872.06867671691793</v>
      </c>
      <c r="W227" s="439">
        <v>0</v>
      </c>
      <c r="X227" s="440">
        <v>131040</v>
      </c>
      <c r="Y227" s="262">
        <f t="shared" si="14"/>
        <v>0</v>
      </c>
    </row>
    <row r="228" spans="1:25" ht="16.5">
      <c r="A228" s="445" t="s">
        <v>25</v>
      </c>
      <c r="B228" s="434" t="s">
        <v>440</v>
      </c>
      <c r="C228" s="435">
        <v>65</v>
      </c>
      <c r="D228" s="435">
        <v>36</v>
      </c>
      <c r="E228" s="435">
        <v>64</v>
      </c>
      <c r="F228" s="434" t="s">
        <v>25</v>
      </c>
      <c r="G228" s="434" t="s">
        <v>11</v>
      </c>
      <c r="H228" s="434" t="s">
        <v>7</v>
      </c>
      <c r="I228" s="434" t="s">
        <v>10</v>
      </c>
      <c r="J228" s="434" t="s">
        <v>25</v>
      </c>
      <c r="K228" s="435">
        <v>1</v>
      </c>
      <c r="L228" s="435"/>
      <c r="M228" s="434" t="s">
        <v>25</v>
      </c>
      <c r="N228" s="436">
        <v>11.07</v>
      </c>
      <c r="O228" s="436">
        <v>10.79</v>
      </c>
      <c r="P228" s="436">
        <v>10.52</v>
      </c>
      <c r="Q228" s="436">
        <v>10.24</v>
      </c>
      <c r="R228" s="436">
        <v>9.9600000000000009</v>
      </c>
      <c r="S228" s="263"/>
      <c r="T228" s="264">
        <f t="shared" si="13"/>
        <v>0</v>
      </c>
      <c r="U228" s="437">
        <v>1582</v>
      </c>
      <c r="V228" s="438">
        <v>756.68436408858281</v>
      </c>
      <c r="W228" s="439">
        <v>0</v>
      </c>
      <c r="X228" s="440">
        <v>149760</v>
      </c>
      <c r="Y228" s="262">
        <f t="shared" si="14"/>
        <v>0</v>
      </c>
    </row>
    <row r="229" spans="1:25" ht="16.5">
      <c r="A229" s="445" t="s">
        <v>25</v>
      </c>
      <c r="B229" s="434" t="s">
        <v>441</v>
      </c>
      <c r="C229" s="435">
        <v>65</v>
      </c>
      <c r="D229" s="435">
        <v>44</v>
      </c>
      <c r="E229" s="435">
        <v>33</v>
      </c>
      <c r="F229" s="434" t="s">
        <v>25</v>
      </c>
      <c r="G229" s="434" t="s">
        <v>11</v>
      </c>
      <c r="H229" s="434" t="s">
        <v>7</v>
      </c>
      <c r="I229" s="434" t="s">
        <v>1</v>
      </c>
      <c r="J229" s="434" t="s">
        <v>25</v>
      </c>
      <c r="K229" s="435">
        <v>1</v>
      </c>
      <c r="L229" s="435"/>
      <c r="M229" s="434" t="s">
        <v>25</v>
      </c>
      <c r="N229" s="436">
        <v>7.09</v>
      </c>
      <c r="O229" s="436">
        <v>6.91</v>
      </c>
      <c r="P229" s="436">
        <v>6.74</v>
      </c>
      <c r="Q229" s="436">
        <v>6.56</v>
      </c>
      <c r="R229" s="436">
        <v>6.38</v>
      </c>
      <c r="S229" s="263"/>
      <c r="T229" s="264">
        <f t="shared" si="13"/>
        <v>0</v>
      </c>
      <c r="U229" s="437">
        <v>886</v>
      </c>
      <c r="V229" s="438">
        <v>509.37104748763937</v>
      </c>
      <c r="W229" s="439">
        <v>0</v>
      </c>
      <c r="X229" s="440">
        <v>94380</v>
      </c>
      <c r="Y229" s="262">
        <f t="shared" si="14"/>
        <v>0</v>
      </c>
    </row>
    <row r="230" spans="1:25" ht="16.5">
      <c r="A230" s="445" t="s">
        <v>25</v>
      </c>
      <c r="B230" s="434" t="s">
        <v>442</v>
      </c>
      <c r="C230" s="435">
        <v>65</v>
      </c>
      <c r="D230" s="435">
        <v>48</v>
      </c>
      <c r="E230" s="435">
        <v>54</v>
      </c>
      <c r="F230" s="434" t="s">
        <v>25</v>
      </c>
      <c r="G230" s="434" t="s">
        <v>11</v>
      </c>
      <c r="H230" s="434" t="s">
        <v>7</v>
      </c>
      <c r="I230" s="434" t="s">
        <v>10</v>
      </c>
      <c r="J230" s="434" t="s">
        <v>25</v>
      </c>
      <c r="K230" s="435">
        <v>1</v>
      </c>
      <c r="L230" s="435"/>
      <c r="M230" s="434" t="s">
        <v>25</v>
      </c>
      <c r="N230" s="436">
        <v>11.46</v>
      </c>
      <c r="O230" s="436">
        <v>11.17</v>
      </c>
      <c r="P230" s="436">
        <v>10.89</v>
      </c>
      <c r="Q230" s="436">
        <v>10.6</v>
      </c>
      <c r="R230" s="436">
        <v>10.31</v>
      </c>
      <c r="S230" s="263"/>
      <c r="T230" s="264">
        <f t="shared" si="13"/>
        <v>0</v>
      </c>
      <c r="U230" s="437">
        <v>1432</v>
      </c>
      <c r="V230" s="438">
        <v>601.85768923632997</v>
      </c>
      <c r="W230" s="439">
        <v>0</v>
      </c>
      <c r="X230" s="440">
        <v>168480</v>
      </c>
      <c r="Y230" s="262">
        <f t="shared" si="14"/>
        <v>0</v>
      </c>
    </row>
    <row r="231" spans="1:25" ht="16.5">
      <c r="A231" s="445" t="s">
        <v>25</v>
      </c>
      <c r="B231" s="434" t="s">
        <v>465</v>
      </c>
      <c r="C231" s="435">
        <v>65</v>
      </c>
      <c r="D231" s="435">
        <v>64</v>
      </c>
      <c r="E231" s="435">
        <v>87</v>
      </c>
      <c r="F231" s="434" t="s">
        <v>25</v>
      </c>
      <c r="G231" s="434" t="s">
        <v>25</v>
      </c>
      <c r="H231" s="434" t="s">
        <v>7</v>
      </c>
      <c r="I231" s="434" t="s">
        <v>10</v>
      </c>
      <c r="J231" s="434" t="s">
        <v>25</v>
      </c>
      <c r="K231" s="435">
        <v>1</v>
      </c>
      <c r="L231" s="435"/>
      <c r="M231" s="434" t="s">
        <v>25</v>
      </c>
      <c r="N231" s="436">
        <v>18</v>
      </c>
      <c r="O231" s="436">
        <v>17.55</v>
      </c>
      <c r="P231" s="436">
        <v>17.100000000000001</v>
      </c>
      <c r="Q231" s="436">
        <v>16.649999999999999</v>
      </c>
      <c r="R231" s="436">
        <v>16.2</v>
      </c>
      <c r="S231" s="263"/>
      <c r="T231" s="264">
        <f t="shared" si="13"/>
        <v>0</v>
      </c>
      <c r="U231" s="437">
        <v>2588</v>
      </c>
      <c r="V231" s="438">
        <v>647.38843305983596</v>
      </c>
      <c r="W231" s="439">
        <v>0</v>
      </c>
      <c r="X231" s="440">
        <v>361920</v>
      </c>
      <c r="Y231" s="262">
        <f t="shared" si="14"/>
        <v>0</v>
      </c>
    </row>
    <row r="232" spans="1:25" ht="16.5">
      <c r="A232" s="445" t="s">
        <v>25</v>
      </c>
      <c r="B232" s="434" t="s">
        <v>345</v>
      </c>
      <c r="C232" s="435">
        <v>66</v>
      </c>
      <c r="D232" s="435">
        <v>44</v>
      </c>
      <c r="E232" s="435">
        <v>68</v>
      </c>
      <c r="F232" s="434" t="s">
        <v>25</v>
      </c>
      <c r="G232" s="434" t="s">
        <v>11</v>
      </c>
      <c r="H232" s="434" t="s">
        <v>7</v>
      </c>
      <c r="I232" s="434" t="s">
        <v>10</v>
      </c>
      <c r="J232" s="434" t="s">
        <v>25</v>
      </c>
      <c r="K232" s="435">
        <v>1</v>
      </c>
      <c r="L232" s="435"/>
      <c r="M232" s="434" t="s">
        <v>25</v>
      </c>
      <c r="N232" s="436">
        <v>13</v>
      </c>
      <c r="O232" s="436">
        <v>12.68</v>
      </c>
      <c r="P232" s="436">
        <v>12.35</v>
      </c>
      <c r="Q232" s="436">
        <v>12.03</v>
      </c>
      <c r="R232" s="436">
        <v>11.7</v>
      </c>
      <c r="S232" s="263"/>
      <c r="T232" s="264">
        <f t="shared" si="13"/>
        <v>0</v>
      </c>
      <c r="U232" s="437">
        <v>1780</v>
      </c>
      <c r="V232" s="438">
        <v>700.09832841691252</v>
      </c>
      <c r="W232" s="439">
        <v>0</v>
      </c>
      <c r="X232" s="440">
        <v>197472</v>
      </c>
      <c r="Y232" s="262">
        <f t="shared" si="14"/>
        <v>0</v>
      </c>
    </row>
    <row r="233" spans="1:25" ht="16.5">
      <c r="A233" s="445" t="s">
        <v>25</v>
      </c>
      <c r="B233" s="434" t="s">
        <v>466</v>
      </c>
      <c r="C233" s="435">
        <v>66</v>
      </c>
      <c r="D233" s="435">
        <v>65</v>
      </c>
      <c r="E233" s="435">
        <v>99</v>
      </c>
      <c r="F233" s="434" t="s">
        <v>25</v>
      </c>
      <c r="G233" s="434" t="s">
        <v>11</v>
      </c>
      <c r="H233" s="434" t="s">
        <v>7</v>
      </c>
      <c r="I233" s="434" t="s">
        <v>10</v>
      </c>
      <c r="J233" s="434" t="s">
        <v>25</v>
      </c>
      <c r="K233" s="435">
        <v>1</v>
      </c>
      <c r="L233" s="435"/>
      <c r="M233" s="434" t="s">
        <v>25</v>
      </c>
      <c r="N233" s="436">
        <v>20</v>
      </c>
      <c r="O233" s="436">
        <v>19.5</v>
      </c>
      <c r="P233" s="436">
        <v>19</v>
      </c>
      <c r="Q233" s="436">
        <v>18.5</v>
      </c>
      <c r="R233" s="436">
        <v>18</v>
      </c>
      <c r="S233" s="263"/>
      <c r="T233" s="264">
        <f t="shared" si="13"/>
        <v>0</v>
      </c>
      <c r="U233" s="437">
        <v>2960</v>
      </c>
      <c r="V233" s="438">
        <v>671.88741346044719</v>
      </c>
      <c r="W233" s="439">
        <v>0</v>
      </c>
      <c r="X233" s="440">
        <v>424710</v>
      </c>
      <c r="Y233" s="262">
        <f t="shared" si="14"/>
        <v>0</v>
      </c>
    </row>
    <row r="234" spans="1:25" ht="16.5">
      <c r="A234" s="445" t="s">
        <v>300</v>
      </c>
      <c r="B234" s="434" t="s">
        <v>346</v>
      </c>
      <c r="C234" s="435">
        <v>67</v>
      </c>
      <c r="D234" s="435">
        <v>45</v>
      </c>
      <c r="E234" s="435">
        <v>29</v>
      </c>
      <c r="F234" s="434" t="s">
        <v>25</v>
      </c>
      <c r="G234" s="434" t="s">
        <v>11</v>
      </c>
      <c r="H234" s="434" t="s">
        <v>7</v>
      </c>
      <c r="I234" s="434" t="s">
        <v>10</v>
      </c>
      <c r="J234" s="434" t="s">
        <v>25</v>
      </c>
      <c r="K234" s="435">
        <v>1</v>
      </c>
      <c r="L234" s="435"/>
      <c r="M234" s="434" t="s">
        <v>25</v>
      </c>
      <c r="N234" s="436">
        <v>6</v>
      </c>
      <c r="O234" s="436">
        <v>5.85</v>
      </c>
      <c r="P234" s="436">
        <v>5.7</v>
      </c>
      <c r="Q234" s="436">
        <v>5.55</v>
      </c>
      <c r="R234" s="436">
        <v>5.4</v>
      </c>
      <c r="S234" s="263"/>
      <c r="T234" s="264">
        <f t="shared" si="13"/>
        <v>0</v>
      </c>
      <c r="U234" s="437">
        <v>1450</v>
      </c>
      <c r="V234" s="438">
        <v>844.25036390101889</v>
      </c>
      <c r="W234" s="439">
        <v>5.5</v>
      </c>
      <c r="X234" s="440">
        <v>87435</v>
      </c>
      <c r="Y234" s="262">
        <f t="shared" si="14"/>
        <v>0</v>
      </c>
    </row>
    <row r="235" spans="1:25" ht="16.5">
      <c r="A235" s="445" t="s">
        <v>300</v>
      </c>
      <c r="B235" s="434" t="s">
        <v>443</v>
      </c>
      <c r="C235" s="435">
        <v>69</v>
      </c>
      <c r="D235" s="435">
        <v>43</v>
      </c>
      <c r="E235" s="435">
        <v>40</v>
      </c>
      <c r="F235" s="434" t="s">
        <v>25</v>
      </c>
      <c r="G235" s="434" t="s">
        <v>11</v>
      </c>
      <c r="H235" s="434" t="s">
        <v>7</v>
      </c>
      <c r="I235" s="434" t="s">
        <v>10</v>
      </c>
      <c r="J235" s="434" t="s">
        <v>25</v>
      </c>
      <c r="K235" s="435">
        <v>1</v>
      </c>
      <c r="L235" s="435"/>
      <c r="M235" s="434" t="s">
        <v>25</v>
      </c>
      <c r="N235" s="436">
        <v>7</v>
      </c>
      <c r="O235" s="436">
        <v>6.83</v>
      </c>
      <c r="P235" s="436">
        <v>6.65</v>
      </c>
      <c r="Q235" s="436">
        <v>6.48</v>
      </c>
      <c r="R235" s="436">
        <v>6.3</v>
      </c>
      <c r="S235" s="263"/>
      <c r="T235" s="264">
        <f t="shared" si="13"/>
        <v>0</v>
      </c>
      <c r="U235" s="437">
        <v>1220</v>
      </c>
      <c r="V235" s="438">
        <v>634.22749012268662</v>
      </c>
      <c r="W235" s="439">
        <v>0</v>
      </c>
      <c r="X235" s="440">
        <v>118680</v>
      </c>
      <c r="Y235" s="262">
        <f t="shared" si="14"/>
        <v>0</v>
      </c>
    </row>
    <row r="236" spans="1:25" ht="16.5">
      <c r="A236" s="445" t="s">
        <v>25</v>
      </c>
      <c r="B236" s="434" t="s">
        <v>467</v>
      </c>
      <c r="C236" s="435">
        <v>70</v>
      </c>
      <c r="D236" s="435">
        <v>70</v>
      </c>
      <c r="E236" s="435">
        <v>100</v>
      </c>
      <c r="F236" s="434" t="s">
        <v>25</v>
      </c>
      <c r="G236" s="434" t="s">
        <v>11</v>
      </c>
      <c r="H236" s="434" t="s">
        <v>7</v>
      </c>
      <c r="I236" s="434" t="s">
        <v>10</v>
      </c>
      <c r="J236" s="434" t="s">
        <v>25</v>
      </c>
      <c r="K236" s="435">
        <v>1</v>
      </c>
      <c r="L236" s="435"/>
      <c r="M236" s="434" t="s">
        <v>25</v>
      </c>
      <c r="N236" s="436">
        <v>20</v>
      </c>
      <c r="O236" s="436">
        <v>19.5</v>
      </c>
      <c r="P236" s="436">
        <v>19</v>
      </c>
      <c r="Q236" s="436">
        <v>18.5</v>
      </c>
      <c r="R236" s="436">
        <v>18</v>
      </c>
      <c r="S236" s="263"/>
      <c r="T236" s="264">
        <f t="shared" si="13"/>
        <v>0</v>
      </c>
      <c r="U236" s="437">
        <v>3176</v>
      </c>
      <c r="V236" s="438">
        <v>651.68769877911154</v>
      </c>
      <c r="W236" s="439">
        <v>0</v>
      </c>
      <c r="X236" s="440">
        <v>490000</v>
      </c>
      <c r="Y236" s="262">
        <f t="shared" si="14"/>
        <v>0</v>
      </c>
    </row>
    <row r="237" spans="1:25" ht="16.5">
      <c r="A237" s="445" t="s">
        <v>25</v>
      </c>
      <c r="B237" s="434" t="s">
        <v>444</v>
      </c>
      <c r="C237" s="435">
        <v>71</v>
      </c>
      <c r="D237" s="435">
        <v>47</v>
      </c>
      <c r="E237" s="441"/>
      <c r="F237" s="434" t="s">
        <v>25</v>
      </c>
      <c r="G237" s="434" t="s">
        <v>11</v>
      </c>
      <c r="H237" s="434" t="s">
        <v>437</v>
      </c>
      <c r="I237" s="434" t="s">
        <v>1</v>
      </c>
      <c r="J237" s="434" t="s">
        <v>25</v>
      </c>
      <c r="K237" s="435">
        <v>1</v>
      </c>
      <c r="L237" s="435"/>
      <c r="M237" s="434" t="s">
        <v>25</v>
      </c>
      <c r="N237" s="436">
        <v>0.6</v>
      </c>
      <c r="O237" s="436">
        <v>0.59</v>
      </c>
      <c r="P237" s="436">
        <v>0.56999999999999995</v>
      </c>
      <c r="Q237" s="436">
        <v>0.56000000000000005</v>
      </c>
      <c r="R237" s="436">
        <v>0.54</v>
      </c>
      <c r="S237" s="263"/>
      <c r="T237" s="264">
        <f t="shared" si="13"/>
        <v>0</v>
      </c>
      <c r="U237" s="437">
        <v>126</v>
      </c>
      <c r="V237" s="441"/>
      <c r="W237" s="439">
        <v>0</v>
      </c>
      <c r="X237" s="441"/>
      <c r="Y237" s="262">
        <f t="shared" si="14"/>
        <v>0</v>
      </c>
    </row>
    <row r="238" spans="1:25" ht="16.5">
      <c r="A238" s="445" t="s">
        <v>25</v>
      </c>
      <c r="B238" s="434" t="s">
        <v>347</v>
      </c>
      <c r="C238" s="435">
        <v>71</v>
      </c>
      <c r="D238" s="435">
        <v>48</v>
      </c>
      <c r="E238" s="435">
        <v>34</v>
      </c>
      <c r="F238" s="434" t="s">
        <v>25</v>
      </c>
      <c r="G238" s="434" t="s">
        <v>11</v>
      </c>
      <c r="H238" s="434" t="s">
        <v>7</v>
      </c>
      <c r="I238" s="434" t="s">
        <v>1</v>
      </c>
      <c r="J238" s="434" t="s">
        <v>25</v>
      </c>
      <c r="K238" s="435">
        <v>1</v>
      </c>
      <c r="L238" s="435"/>
      <c r="M238" s="434" t="s">
        <v>25</v>
      </c>
      <c r="N238" s="436">
        <v>5.8</v>
      </c>
      <c r="O238" s="436">
        <v>5.66</v>
      </c>
      <c r="P238" s="436">
        <v>5.51</v>
      </c>
      <c r="Q238" s="436">
        <v>5.37</v>
      </c>
      <c r="R238" s="436">
        <v>5.22</v>
      </c>
      <c r="S238" s="263"/>
      <c r="T238" s="264">
        <f t="shared" si="13"/>
        <v>0</v>
      </c>
      <c r="U238" s="437">
        <v>1024</v>
      </c>
      <c r="V238" s="438">
        <v>507.70985175268976</v>
      </c>
      <c r="W238" s="439">
        <v>0</v>
      </c>
      <c r="X238" s="440">
        <v>115872</v>
      </c>
      <c r="Y238" s="262">
        <f t="shared" si="14"/>
        <v>0</v>
      </c>
    </row>
    <row r="239" spans="1:25" ht="16.5">
      <c r="A239" s="445" t="s">
        <v>25</v>
      </c>
      <c r="B239" s="434" t="s">
        <v>468</v>
      </c>
      <c r="C239" s="435">
        <v>80</v>
      </c>
      <c r="D239" s="435">
        <v>54</v>
      </c>
      <c r="E239" s="441"/>
      <c r="F239" s="434" t="s">
        <v>25</v>
      </c>
      <c r="G239" s="434" t="s">
        <v>25</v>
      </c>
      <c r="H239" s="434" t="s">
        <v>437</v>
      </c>
      <c r="I239" s="434" t="s">
        <v>1</v>
      </c>
      <c r="J239" s="434" t="s">
        <v>25</v>
      </c>
      <c r="K239" s="435">
        <v>1</v>
      </c>
      <c r="L239" s="435"/>
      <c r="M239" s="434" t="s">
        <v>25</v>
      </c>
      <c r="N239" s="436">
        <v>0.85</v>
      </c>
      <c r="O239" s="436">
        <v>0.83</v>
      </c>
      <c r="P239" s="436">
        <v>0.81</v>
      </c>
      <c r="Q239" s="436">
        <v>0.79</v>
      </c>
      <c r="R239" s="436">
        <v>0.76</v>
      </c>
      <c r="S239" s="263"/>
      <c r="T239" s="264">
        <f t="shared" si="13"/>
        <v>0</v>
      </c>
      <c r="U239" s="437">
        <v>174</v>
      </c>
      <c r="V239" s="441"/>
      <c r="W239" s="439">
        <v>0</v>
      </c>
      <c r="X239" s="441"/>
      <c r="Y239" s="262">
        <f t="shared" si="14"/>
        <v>0</v>
      </c>
    </row>
    <row r="240" spans="1:25" ht="16.5">
      <c r="A240" s="445" t="s">
        <v>25</v>
      </c>
      <c r="B240" s="434" t="s">
        <v>445</v>
      </c>
      <c r="C240" s="435">
        <v>82</v>
      </c>
      <c r="D240" s="435">
        <v>54</v>
      </c>
      <c r="E240" s="435">
        <v>33</v>
      </c>
      <c r="F240" s="434" t="s">
        <v>25</v>
      </c>
      <c r="G240" s="434" t="s">
        <v>11</v>
      </c>
      <c r="H240" s="434" t="s">
        <v>7</v>
      </c>
      <c r="I240" s="434" t="s">
        <v>1</v>
      </c>
      <c r="J240" s="434" t="s">
        <v>25</v>
      </c>
      <c r="K240" s="435">
        <v>1</v>
      </c>
      <c r="L240" s="435"/>
      <c r="M240" s="434" t="s">
        <v>25</v>
      </c>
      <c r="N240" s="436">
        <v>6.41</v>
      </c>
      <c r="O240" s="436">
        <v>6.25</v>
      </c>
      <c r="P240" s="436">
        <v>6.09</v>
      </c>
      <c r="Q240" s="436">
        <v>5.93</v>
      </c>
      <c r="R240" s="436">
        <v>5.77</v>
      </c>
      <c r="S240" s="263"/>
      <c r="T240" s="264">
        <f t="shared" si="13"/>
        <v>0</v>
      </c>
      <c r="U240" s="437">
        <v>916</v>
      </c>
      <c r="V240" s="438">
        <v>375.77945520183783</v>
      </c>
      <c r="W240" s="439">
        <v>0</v>
      </c>
      <c r="X240" s="440">
        <v>146124</v>
      </c>
      <c r="Y240" s="262">
        <f t="shared" si="14"/>
        <v>0</v>
      </c>
    </row>
  </sheetData>
  <autoFilter ref="A6:Y126" xr:uid="{3CEBE5E4-A7CB-4D6F-8102-F3C0AAB07557}">
    <sortState xmlns:xlrd2="http://schemas.microsoft.com/office/spreadsheetml/2017/richdata2" ref="A7:Y163">
      <sortCondition ref="C6:C126"/>
    </sortState>
  </autoFilter>
  <mergeCells count="5">
    <mergeCell ref="G2:I2"/>
    <mergeCell ref="N2:R2"/>
    <mergeCell ref="O4:R4"/>
    <mergeCell ref="G3:I3"/>
    <mergeCell ref="G4:I4"/>
  </mergeCells>
  <conditionalFormatting sqref="A6 A241:A1048576">
    <cfRule type="cellIs" dxfId="145" priority="233" operator="equal">
      <formula>"Visualizando"</formula>
    </cfRule>
  </conditionalFormatting>
  <conditionalFormatting sqref="B2">
    <cfRule type="expression" dxfId="144" priority="58">
      <formula>$D2&gt;0</formula>
    </cfRule>
  </conditionalFormatting>
  <conditionalFormatting sqref="N2 N4">
    <cfRule type="expression" dxfId="143" priority="235">
      <formula>$A$4=1</formula>
    </cfRule>
  </conditionalFormatting>
  <conditionalFormatting sqref="T7:T240">
    <cfRule type="cellIs" dxfId="142" priority="84" operator="greaterThan">
      <formula>0</formula>
    </cfRule>
  </conditionalFormatting>
  <dataValidations count="1">
    <dataValidation type="custom" errorStyle="warning" allowBlank="1" showInputMessage="1" showErrorMessage="1" errorTitle="Erro na quantidade" error="Pacotes com 25 = digite: 25,50,75..._x000a_Pacotes com 50 = digite: 50,100,150..._x000a__x000a_Você pode manter com erro, mas o pedido pode não ser valido." sqref="L7:L240" xr:uid="{F24D60A1-2FDD-4977-85CA-32E8A5C2C81D}">
      <formula1>((INT(L7/K7))*K7)=L7</formula1>
    </dataValidation>
  </dataValidations>
  <hyperlinks>
    <hyperlink ref="B2" location="GERAL!A1" display="GERAL" xr:uid="{2CF2D147-697B-46C4-9D6F-2992F92C628C}"/>
    <hyperlink ref="A7" r:id="rId1" xr:uid="{67BDDAD7-6A32-4B69-AC2F-C40C2677267D}"/>
    <hyperlink ref="A8" r:id="rId2" xr:uid="{87A213F7-E4DD-44CF-984D-35D1BEA55E4B}"/>
    <hyperlink ref="A9" r:id="rId3" xr:uid="{BC0C3819-9632-4ABD-8A46-60ABA97C7C23}"/>
    <hyperlink ref="A10" r:id="rId4" xr:uid="{EB2B78BB-DD05-421F-A99E-F8B584A68C06}"/>
    <hyperlink ref="A11" r:id="rId5" xr:uid="{69687A40-A1A4-47AA-9ACA-CC5F3C532360}"/>
    <hyperlink ref="A12" r:id="rId6" xr:uid="{E08C9722-92B5-4C77-84DC-BDDF7D5B2DB5}"/>
    <hyperlink ref="A13" xr:uid="{3E12C906-01CE-48C7-A7A2-E2B7073AD126}"/>
    <hyperlink ref="A14" xr:uid="{7A68F326-9DA0-41DF-836A-DE813E671C45}"/>
    <hyperlink ref="A15" r:id="rId7" xr:uid="{2D17800B-AF77-4F10-8CC9-EBEE898A2102}"/>
    <hyperlink ref="A16" r:id="rId8" xr:uid="{CE3FB6B1-C8CF-4B45-B149-7C9BCE35E79F}"/>
    <hyperlink ref="A17" r:id="rId9" xr:uid="{AC3910F6-C8A8-48AA-879C-16947763727F}"/>
    <hyperlink ref="A18" r:id="rId10" xr:uid="{ADB4646F-B83A-4C74-BF76-743605486E3A}"/>
    <hyperlink ref="A19" r:id="rId11" xr:uid="{C1C8FE74-FCD3-4872-AED3-282F79409447}"/>
    <hyperlink ref="A20" r:id="rId12" xr:uid="{A290708F-5011-494C-B6A4-B2C7CB372D50}"/>
    <hyperlink ref="A21" r:id="rId13" xr:uid="{3D6A554A-083F-433B-90CA-9E5AE004A9F3}"/>
    <hyperlink ref="A22" xr:uid="{8403CD36-0230-4D2D-80E7-57E4ED817729}"/>
    <hyperlink ref="A23" r:id="rId14" xr:uid="{7BD0FD67-3308-410B-9160-4ABD223D79EA}"/>
    <hyperlink ref="A24" r:id="rId15" xr:uid="{92CA1C05-7590-4C3B-9AA5-389423D260D9}"/>
    <hyperlink ref="A25" r:id="rId16" xr:uid="{D3344591-3C59-40DF-8B7A-5DDADFC94B89}"/>
    <hyperlink ref="A26" r:id="rId17" xr:uid="{1D6607D6-D285-4C16-9BBE-C10E0125251F}"/>
    <hyperlink ref="A27" r:id="rId18" xr:uid="{D43BCEB4-0CB0-4474-A7BB-1DCDDB880E78}"/>
    <hyperlink ref="A28" r:id="rId19" xr:uid="{3E4EE5DD-8B5C-48FD-BDB4-7988DA24717F}"/>
    <hyperlink ref="A29" r:id="rId20" xr:uid="{5B648807-02FA-4E60-BCFA-EC312CADB804}"/>
    <hyperlink ref="A30" xr:uid="{9D254B8C-747F-4400-B963-943F3540E12F}"/>
    <hyperlink ref="A31" r:id="rId21" xr:uid="{DA25CC06-E354-4953-BB5A-3C7A038FAA5E}"/>
    <hyperlink ref="A32" r:id="rId22" xr:uid="{3B515BE0-D8DE-4806-95DB-3FDE6538A174}"/>
    <hyperlink ref="A33" r:id="rId23" xr:uid="{9C3F7FB2-D10A-475E-8262-7F6EE25AF4C4}"/>
    <hyperlink ref="A34" r:id="rId24" xr:uid="{ED5FBC88-8D1A-4458-B829-E2FA406E75E2}"/>
    <hyperlink ref="A35" r:id="rId25" xr:uid="{100DC5B2-83B2-4642-93F1-C73F0A6838C2}"/>
    <hyperlink ref="A36" r:id="rId26" xr:uid="{26EEBBC1-3BED-4E6D-9CDC-A8860BB13CFA}"/>
    <hyperlink ref="A37" r:id="rId27" xr:uid="{BE05A3F4-7C51-4B49-BF3D-C6C218634E69}"/>
    <hyperlink ref="A38" r:id="rId28" xr:uid="{14011DAC-2EB4-4D58-A3F1-E043867C8DAC}"/>
    <hyperlink ref="A39" xr:uid="{4713AA46-E976-440D-9AFA-EC1572C53B1E}"/>
    <hyperlink ref="A40" r:id="rId29" xr:uid="{813C4C41-A781-4517-AFFC-488C5B3DEEE7}"/>
    <hyperlink ref="A41" xr:uid="{9C98DF3A-9545-457B-AEF3-EF3B6A09DAAD}"/>
    <hyperlink ref="A42" r:id="rId30" xr:uid="{95365709-6067-4AA8-AB93-6C882D12DA8F}"/>
    <hyperlink ref="A43" r:id="rId31" xr:uid="{4DBF0C1A-A696-49B0-B588-56B31C1246BA}"/>
    <hyperlink ref="A44" r:id="rId32" xr:uid="{E9BB03AC-43BD-47BC-A24D-1F00A1C2489C}"/>
    <hyperlink ref="A45" r:id="rId33" xr:uid="{3018B5D6-218A-4DDE-AA5B-30B074F3B35A}"/>
    <hyperlink ref="A46" xr:uid="{B8EA358F-6E38-4A0C-BEDC-83704DAE845E}"/>
    <hyperlink ref="A47" r:id="rId34" xr:uid="{888E551A-415C-49A8-8E09-E49D1EA92302}"/>
    <hyperlink ref="A48" r:id="rId35" xr:uid="{D0D3AA3B-3055-4FA1-8D5C-10E4A425EBCA}"/>
    <hyperlink ref="A49" r:id="rId36" xr:uid="{A5335FF4-6C4F-4B7E-B37A-DF3B35011658}"/>
    <hyperlink ref="A50" r:id="rId37" xr:uid="{F0DC76CD-232A-49D0-87B8-0815B77FC7BD}"/>
    <hyperlink ref="A51" r:id="rId38" xr:uid="{A1FDF343-E144-4531-B49E-3047F01B8998}"/>
    <hyperlink ref="A52" r:id="rId39" xr:uid="{187EBFA7-AF22-453D-B9A1-D310587A6FEE}"/>
    <hyperlink ref="A53" r:id="rId40" xr:uid="{83168094-8034-4354-A462-73D8F59FFA1E}"/>
    <hyperlink ref="A54" r:id="rId41" xr:uid="{9C70CE29-8874-492A-B7AE-DCC70DCEF70B}"/>
    <hyperlink ref="A55" r:id="rId42" xr:uid="{08A15E64-B412-4D45-9132-890E75DB056F}"/>
    <hyperlink ref="A56" r:id="rId43" xr:uid="{4048F56D-9438-48E5-9B04-83A4B45DBF58}"/>
    <hyperlink ref="A57" r:id="rId44" xr:uid="{B385E5E9-88ED-478C-863E-267315199C52}"/>
    <hyperlink ref="A58" xr:uid="{CD6AD145-71D5-463F-AAAB-F96284495A24}"/>
    <hyperlink ref="A59" r:id="rId45" xr:uid="{BE767C88-E158-4A37-ABBA-5648C59B4D48}"/>
    <hyperlink ref="A60" r:id="rId46" xr:uid="{24D8AF42-34F3-40F2-8F1B-4B4B1B9694DE}"/>
    <hyperlink ref="A61" r:id="rId47" xr:uid="{74A0985F-8625-4B91-A5AF-DA16430190AF}"/>
    <hyperlink ref="A62" xr:uid="{4FEF4414-8E10-4F97-9621-F73D75CFFF32}"/>
    <hyperlink ref="A63" r:id="rId48" xr:uid="{73E4DB17-152A-469D-A67E-C14EC889D1E7}"/>
    <hyperlink ref="A64" r:id="rId49" xr:uid="{0CD3DCEA-6A3C-48AD-8446-BED1056395ED}"/>
    <hyperlink ref="A65" r:id="rId50" xr:uid="{A4D801A3-D84F-4778-B936-685E856349F9}"/>
    <hyperlink ref="A66" r:id="rId51" xr:uid="{E69B4AF8-C0A6-4A49-899F-85C4B0EF2A55}"/>
    <hyperlink ref="A67" r:id="rId52" xr:uid="{17368E20-DC69-42E8-BC64-E266FC248280}"/>
    <hyperlink ref="A68" r:id="rId53" xr:uid="{C2A3C9F6-356D-49BB-AB73-A2160A61B3BE}"/>
    <hyperlink ref="A69" r:id="rId54" xr:uid="{5AA75F8E-C46C-4127-9E14-C56EDA3C68B5}"/>
    <hyperlink ref="A70" xr:uid="{E594949C-F281-49B3-8A9C-B8B62B9BDE2C}"/>
    <hyperlink ref="A71" r:id="rId55" xr:uid="{09F70250-6F01-4C60-A5C5-EDD9D29AC025}"/>
    <hyperlink ref="A72" r:id="rId56" xr:uid="{F7B5F2D1-6FFD-4300-9D08-B453AE373EDC}"/>
    <hyperlink ref="A73" r:id="rId57" xr:uid="{4D4FA604-0542-43BF-8BFF-3B4811C63C70}"/>
    <hyperlink ref="A74" r:id="rId58" xr:uid="{B91A88E1-CB42-450F-810E-CC1E509A0C91}"/>
    <hyperlink ref="A75" r:id="rId59" xr:uid="{5F795ABF-E637-459F-B175-9CDD2CDB3E4C}"/>
    <hyperlink ref="A76" xr:uid="{43445C4D-5A07-4C2A-87D9-74713AA7C455}"/>
    <hyperlink ref="A77" r:id="rId60" xr:uid="{C2F46733-58A0-447C-B270-3396512511A2}"/>
    <hyperlink ref="A78" xr:uid="{7915D57B-6F1C-45DF-9781-29274E7422B6}"/>
    <hyperlink ref="A79" r:id="rId61" xr:uid="{47B2DCBF-828C-4867-A7AE-33943AD7406D}"/>
    <hyperlink ref="A80" r:id="rId62" xr:uid="{FC203319-19E6-43A1-BCB0-E33467B03F98}"/>
    <hyperlink ref="A81" r:id="rId63" xr:uid="{D2145C07-FCC9-4BBF-A9DE-F2C97956C077}"/>
    <hyperlink ref="A82" r:id="rId64" xr:uid="{213A0BB4-EFBE-4AEC-8854-AC29E9A7109B}"/>
    <hyperlink ref="A83" r:id="rId65" xr:uid="{AA88DDD3-C2BA-4B75-890B-6C307D20FA77}"/>
    <hyperlink ref="A84" r:id="rId66" xr:uid="{DC8A2F91-1E38-4775-BD84-CD433E250C0E}"/>
    <hyperlink ref="A85" r:id="rId67" xr:uid="{27693402-9FBE-4394-B3AC-F2B4D69E1078}"/>
    <hyperlink ref="A86" r:id="rId68" xr:uid="{2C095D7D-3E02-4A2E-9C07-7A33294FB7D4}"/>
    <hyperlink ref="A87" r:id="rId69" xr:uid="{79A37C81-9D43-44F8-AF85-94ECA336763D}"/>
    <hyperlink ref="A88" xr:uid="{A6F76BA4-48A6-4398-AC45-97A44F6C93CD}"/>
    <hyperlink ref="A89" xr:uid="{6C66AEB3-953D-45B8-9083-9DE7F3011631}"/>
    <hyperlink ref="A90" r:id="rId70" xr:uid="{0E1C0872-30AC-4F60-935B-BCDE9685DFB2}"/>
    <hyperlink ref="A91" xr:uid="{7DBD150E-7B9C-406E-B552-72EE57EFC675}"/>
    <hyperlink ref="A92" r:id="rId71" xr:uid="{D9C243C0-A639-4B36-8A3B-94DD09B7F1EB}"/>
    <hyperlink ref="A93" r:id="rId72" xr:uid="{0C3B4DFA-94C1-4538-95D7-312537FFC113}"/>
    <hyperlink ref="A94" r:id="rId73" xr:uid="{A16ADD46-BFB3-40FF-ABDA-DE00101B8F5B}"/>
    <hyperlink ref="A95" xr:uid="{E0D64FB1-464F-4A44-8149-74B45CF8A544}"/>
    <hyperlink ref="A96" r:id="rId74" xr:uid="{FA13C1B6-647C-4BB2-B73C-33E5D78454E0}"/>
    <hyperlink ref="A97" xr:uid="{3EE5F9A7-2B2F-4AD1-851E-B9F23221393D}"/>
    <hyperlink ref="A98" r:id="rId75" xr:uid="{66E247E2-F819-4CA3-AEF6-37D2F6662D62}"/>
    <hyperlink ref="A99" r:id="rId76" xr:uid="{9AA55566-804A-4E50-80ED-6EE1307CDDF9}"/>
    <hyperlink ref="A100" xr:uid="{E0A4C440-21B9-415A-BDA9-BA19B2EC629F}"/>
    <hyperlink ref="A101" xr:uid="{0ADF61DD-F21C-4A68-BACB-2AAC4DEC57A0}"/>
    <hyperlink ref="A102" xr:uid="{D972B3D1-959D-4AB5-B6E9-92688F5A488C}"/>
    <hyperlink ref="A103" r:id="rId77" xr:uid="{340C6645-DFB6-4AF3-86B0-9BF6991FBD5B}"/>
    <hyperlink ref="A104" xr:uid="{4D24629B-9386-48E8-BF4F-E22FA7B1ED47}"/>
    <hyperlink ref="A105" r:id="rId78" xr:uid="{9F19D1CA-2CB6-40EC-AB1D-A45355A0618E}"/>
    <hyperlink ref="A106" r:id="rId79" xr:uid="{D89E27B6-9E21-4FBB-A1F5-C02C26FA5F55}"/>
    <hyperlink ref="A107" r:id="rId80" xr:uid="{66E39237-83F2-4F8E-A59D-0A7226EDE86D}"/>
    <hyperlink ref="A108" xr:uid="{85DD491B-DC24-46C1-A91C-3284F3C89088}"/>
    <hyperlink ref="A109" xr:uid="{39CAC667-5145-44F1-B8DB-FF2323FEA43A}"/>
    <hyperlink ref="A110" xr:uid="{EC583505-9D10-4EB3-A0D1-99F210F25E02}"/>
    <hyperlink ref="A111" xr:uid="{C592D6FD-4052-4719-8AD3-FB5F2310395F}"/>
    <hyperlink ref="A112" r:id="rId81" xr:uid="{E6ABD70A-5702-4BA8-B67A-5401350EEF22}"/>
    <hyperlink ref="A113" xr:uid="{A756FE53-4137-4D02-8A06-EC7051F5CBCF}"/>
    <hyperlink ref="A114" xr:uid="{C9E6E03A-7920-446E-9C83-DA3314524B66}"/>
    <hyperlink ref="A115" xr:uid="{5B885835-0F25-4664-9D03-997801CCB61A}"/>
    <hyperlink ref="A116" r:id="rId82" xr:uid="{D2D1F426-72CF-4144-A315-93DD5438E44F}"/>
    <hyperlink ref="A117" r:id="rId83" xr:uid="{A8A3CD56-FD87-40E2-AF20-E247D135AD3E}"/>
    <hyperlink ref="A118" r:id="rId84" xr:uid="{489AE206-7202-4E0B-82BC-5A4A482F8FB1}"/>
    <hyperlink ref="A119" r:id="rId85" xr:uid="{B2182FF0-047E-4133-B1BE-03A88DB77E08}"/>
    <hyperlink ref="A120" r:id="rId86" xr:uid="{E14AC9FA-32D7-4D2D-AA9A-5FEFA67C9532}"/>
    <hyperlink ref="A121" xr:uid="{C9418E7C-98DB-4FE5-8D93-D73AE3E4F75A}"/>
    <hyperlink ref="A122" r:id="rId87" xr:uid="{CD695DE9-EB8C-4AEC-9A17-F598CAF822CC}"/>
    <hyperlink ref="A123" r:id="rId88" xr:uid="{E38BB77D-1879-446F-96A1-972D3000A5BB}"/>
    <hyperlink ref="A124" r:id="rId89" xr:uid="{58B24302-5B41-44F8-BE2B-9F75501D6551}"/>
    <hyperlink ref="A125" xr:uid="{7CED2356-2D3F-4618-B872-F989D6B795A4}"/>
    <hyperlink ref="A126" r:id="rId90" xr:uid="{5ABFA862-ED38-45E4-9360-BBAC5CB33E7A}"/>
    <hyperlink ref="A127" r:id="rId91" xr:uid="{AC95832A-1F49-4508-B5F4-1F1946BAB392}"/>
    <hyperlink ref="A128" r:id="rId92" xr:uid="{C2297F3A-FDB1-4FB8-83E2-9E72A5CFD09C}"/>
    <hyperlink ref="A129" xr:uid="{BDE6C5F1-B112-4756-AC0A-B7E503044476}"/>
    <hyperlink ref="A130" r:id="rId93" xr:uid="{43ED5398-78E0-4A60-9C67-6A7C128FEF21}"/>
    <hyperlink ref="A131" xr:uid="{57C46114-AE74-4478-8662-0CDB662931CE}"/>
    <hyperlink ref="A132" r:id="rId94" xr:uid="{8397AB68-39C3-46D7-91AC-CE80A0BBB91E}"/>
    <hyperlink ref="A133" xr:uid="{84F35A2B-5BF3-4008-A1E5-489478F0C1DF}"/>
    <hyperlink ref="A134" r:id="rId95" xr:uid="{8C16E2AD-342B-43A7-8417-8C24F94DD40B}"/>
    <hyperlink ref="A135" r:id="rId96" xr:uid="{98567AD0-4ACB-414F-9D4F-5C5FDC7B6847}"/>
    <hyperlink ref="A136" xr:uid="{A6E7A7D1-DD80-4FE2-912B-53FE320B9972}"/>
    <hyperlink ref="A137" r:id="rId97" xr:uid="{7F006775-1393-42C3-AE33-4C7811F09D20}"/>
    <hyperlink ref="A138" r:id="rId98" xr:uid="{7CBDC2CA-29A4-4C9C-8694-24A63DEDBEF6}"/>
    <hyperlink ref="A139" r:id="rId99" xr:uid="{C504AF4C-E4AA-4CA7-9AB3-1980C4E0B801}"/>
    <hyperlink ref="A140" r:id="rId100" xr:uid="{6A52C531-8A92-44BB-BD18-B2744BBB14AB}"/>
    <hyperlink ref="A141" xr:uid="{7DA9D9A7-2536-4BD8-91A2-E513E3B78169}"/>
    <hyperlink ref="A142" xr:uid="{D6A03F7C-8D44-40E4-ACEB-85793226D3D1}"/>
    <hyperlink ref="A143" r:id="rId101" xr:uid="{1852C35F-D9A6-49B6-9F55-8C067DFB0AF5}"/>
    <hyperlink ref="A144" r:id="rId102" xr:uid="{C7E29998-361D-4B68-ADD4-2933A879AA4C}"/>
    <hyperlink ref="A145" xr:uid="{BFB31938-D368-4475-A7EA-2A7F8B0DAF12}"/>
    <hyperlink ref="A146" xr:uid="{DCB2010D-ED7F-4291-8867-C451ED07BA45}"/>
    <hyperlink ref="A147" xr:uid="{4AC8E577-C3C9-4A25-AF9B-936344290C20}"/>
    <hyperlink ref="A148" r:id="rId103" xr:uid="{6C749091-C3B3-4167-9E05-0D988380407A}"/>
    <hyperlink ref="A149" r:id="rId104" xr:uid="{FC884239-16EA-44A1-B077-2C012C42C785}"/>
    <hyperlink ref="A150" xr:uid="{436DCB92-9B4B-431F-9263-1DF84667951F}"/>
    <hyperlink ref="A151" xr:uid="{59DC66B1-2F7C-4D7D-A547-F0BB664CBDF3}"/>
    <hyperlink ref="A152" r:id="rId105" xr:uid="{B29D3592-DCAC-4BF9-ADC1-C500D1054FC9}"/>
    <hyperlink ref="A153" r:id="rId106" xr:uid="{039B3896-3A7A-47F3-A892-F9154E200D57}"/>
    <hyperlink ref="A154" xr:uid="{AE7B8B32-07B7-4AC0-9F27-29017B8FB71C}"/>
    <hyperlink ref="A155" xr:uid="{44072A39-4885-47DB-BCA6-8D803B18D84F}"/>
    <hyperlink ref="A156" xr:uid="{A3C8F52B-9D8E-470C-8CCC-5D4835AC1155}"/>
    <hyperlink ref="A157" xr:uid="{650F84F4-01CB-4CD7-9CDE-693AECED34B5}"/>
    <hyperlink ref="A158" r:id="rId107" xr:uid="{E86BBE0A-E855-4F70-96E2-29E7962CC8D9}"/>
    <hyperlink ref="A159" r:id="rId108" xr:uid="{3C6A34D3-37C9-4747-BA94-129D5453F650}"/>
    <hyperlink ref="A160" xr:uid="{B6A121A0-F648-46CB-BDBA-FA6489CD7564}"/>
    <hyperlink ref="A161" r:id="rId109" xr:uid="{C893FBBE-784B-43B6-9454-5359CEB75324}"/>
    <hyperlink ref="A162" xr:uid="{37801F2A-CD69-45CE-84DD-4AB58038BBB3}"/>
    <hyperlink ref="A163" xr:uid="{FF1D940E-A494-4888-A835-8E9D13009661}"/>
    <hyperlink ref="A164" display="FOTO" xr:uid="{8CC1D7C1-C4F6-4AF4-AC7E-FFEFE1DBC9D3}"/>
    <hyperlink ref="A165" r:id="rId110" xr:uid="{C8980274-F82F-4327-9288-5BA33B7A42FB}"/>
    <hyperlink ref="A166" r:id="rId111" xr:uid="{805FCCD0-D3CB-471D-BADB-95FC5E8935FC}"/>
    <hyperlink ref="A167" r:id="rId112" xr:uid="{C3CB0650-019E-4D59-B503-5DE7529AB3E2}"/>
    <hyperlink ref="A168" xr:uid="{814B3968-BADF-431B-A81A-4BE90C0F4E05}"/>
    <hyperlink ref="A169" r:id="rId113" xr:uid="{2DD5A4BE-4263-4011-8021-6616489B5358}"/>
    <hyperlink ref="A170" r:id="rId114" xr:uid="{736D58D5-D5B0-4B6B-B57D-D78B2334D797}"/>
    <hyperlink ref="A171" xr:uid="{24DEA8A5-4A0D-42FB-B2A3-8B0F63F59650}"/>
    <hyperlink ref="A172" r:id="rId115" xr:uid="{657E5D45-4589-47DE-8500-94290FDE6FB0}"/>
    <hyperlink ref="A173" r:id="rId116" xr:uid="{F630E5DE-0A50-499A-8B82-C2EB32228B90}"/>
    <hyperlink ref="A174" xr:uid="{B988CCAB-E238-46DB-9AA0-61B431F27266}"/>
    <hyperlink ref="A175" xr:uid="{1576F859-B0D6-4EC3-B16C-FDFDDE029CB2}"/>
    <hyperlink ref="A176" xr:uid="{8512D514-360E-492C-9609-A7FAA38C020A}"/>
    <hyperlink ref="A177" xr:uid="{678D08C7-8B51-42EE-BF09-53A4DCD8D8D9}"/>
    <hyperlink ref="A178" r:id="rId117" xr:uid="{FEB0C9BB-F791-4B78-8357-81ADE1DC230E}"/>
    <hyperlink ref="A179" r:id="rId118" xr:uid="{45728D89-23FD-4CE1-80D0-01F6597A6508}"/>
    <hyperlink ref="A180" r:id="rId119" xr:uid="{840F2906-46D8-427F-A051-40C5C7178369}"/>
    <hyperlink ref="A181" xr:uid="{180320AC-C38C-4666-A4D9-F4E31FD515C4}"/>
    <hyperlink ref="A182" r:id="rId120" xr:uid="{8B049261-CF16-43B0-A8AB-5ADA599E86BE}"/>
    <hyperlink ref="A183" r:id="rId121" xr:uid="{CBBD630A-F4BC-4E81-93B4-9E55CC6B585A}"/>
    <hyperlink ref="A184" xr:uid="{88FED730-82D2-4EB1-9236-29E737DD9E79}"/>
    <hyperlink ref="A185" xr:uid="{CAB66250-CE82-4741-8DD7-70ACA203FB87}"/>
    <hyperlink ref="A186" xr:uid="{08151700-4081-4A6C-950F-CEA97C17C20D}"/>
    <hyperlink ref="A187" xr:uid="{5F367E2D-443B-44B5-AD82-79A4AEBC2097}"/>
    <hyperlink ref="A188" r:id="rId122" xr:uid="{3635DF1E-4176-424D-BC74-A5A94BF4911E}"/>
    <hyperlink ref="A189" r:id="rId123" xr:uid="{42F84216-1539-4847-954A-3BFD54173115}"/>
    <hyperlink ref="A190" r:id="rId124" xr:uid="{9B4D30DA-2EE5-4CBE-8A48-754A8643FF31}"/>
    <hyperlink ref="A191" r:id="rId125" xr:uid="{699D95E0-8C6B-4C53-8F5A-E0F8A030D14F}"/>
    <hyperlink ref="A192" r:id="rId126" xr:uid="{AACBC179-BB49-435B-83EB-193987E748C1}"/>
    <hyperlink ref="A193" r:id="rId127" xr:uid="{B2924CA0-5342-42FA-91FD-E81D213C7AE9}"/>
    <hyperlink ref="A194" r:id="rId128" xr:uid="{6D4739AE-9E20-4CBB-81FB-44F3F3BB7689}"/>
    <hyperlink ref="A195" r:id="rId129" xr:uid="{8BF4A283-90EE-4A64-BBF6-0DB1E3972B1F}"/>
    <hyperlink ref="A196" xr:uid="{2E98D4CE-A277-4DC8-B011-798F28FCF29C}"/>
    <hyperlink ref="A197" xr:uid="{93660907-0D3B-4365-A7A7-DE5A334A7354}"/>
    <hyperlink ref="A198" xr:uid="{5FF8E1EF-F033-41F3-9FDE-52FF221759A3}"/>
    <hyperlink ref="A199" xr:uid="{43F40A64-77DE-4A14-B756-E0CD8691C07E}"/>
    <hyperlink ref="A200" r:id="rId130" xr:uid="{7824E4D3-C4CB-4161-8EBF-9F65C25F309A}"/>
    <hyperlink ref="A201" xr:uid="{748390C2-7B02-4DD2-9CDA-7DEBE0C40DC2}"/>
    <hyperlink ref="A202" r:id="rId131" xr:uid="{C0681F85-C593-428B-8170-2E64CE4FDB07}"/>
    <hyperlink ref="A203" xr:uid="{35EF7D2D-3773-4B91-BD0C-AABE681D1EA2}"/>
    <hyperlink ref="A204" xr:uid="{B3C8C768-EAD7-42B0-8732-882D2CC01EF4}"/>
    <hyperlink ref="A205" xr:uid="{FFFD0AB6-791A-41B4-B060-EE413BBB40AF}"/>
    <hyperlink ref="A206" xr:uid="{B11E7A96-C455-4777-AADA-253DC751D692}"/>
    <hyperlink ref="A207" xr:uid="{FF519864-5430-480B-B6F1-6789E944BF51}"/>
    <hyperlink ref="A208" xr:uid="{A5B7DBE5-61AE-48DB-8423-099134772752}"/>
    <hyperlink ref="A209" xr:uid="{1EC3C2ED-6211-4C95-9F4C-5916D10556DF}"/>
    <hyperlink ref="A210" r:id="rId132" xr:uid="{0D4BD2C2-AE41-4FEE-B8CF-CC117827CAE7}"/>
    <hyperlink ref="A211" xr:uid="{FAB34953-E5AE-4433-BA12-1B58464D2262}"/>
    <hyperlink ref="A212" xr:uid="{AB7908BD-88D2-47EB-8063-A7F6F3F9BE33}"/>
    <hyperlink ref="A213" xr:uid="{6B302A52-7C71-4D15-82C5-E0199B7B6574}"/>
    <hyperlink ref="A214" r:id="rId133" xr:uid="{865AF5F9-42FA-4F92-872A-DB0551529930}"/>
    <hyperlink ref="A215" xr:uid="{14C4007E-6311-44AB-8209-7A7E4ACC71B2}"/>
    <hyperlink ref="A216" r:id="rId134" xr:uid="{12C7205F-BB38-4750-9503-8BA441425079}"/>
    <hyperlink ref="A217" r:id="rId135" xr:uid="{5D657C41-D47B-48AD-84CB-46434594739B}"/>
    <hyperlink ref="A218" xr:uid="{B2831449-22CD-4F4E-AA3D-7C541D1BDB97}"/>
    <hyperlink ref="A219" xr:uid="{2A75A5A9-8FED-4E84-AAC9-7069DB76F69E}"/>
    <hyperlink ref="A220" xr:uid="{2D0D17D4-35F6-43DB-A3F0-32B3407AEC69}"/>
    <hyperlink ref="A221" r:id="rId136" xr:uid="{A2147126-6F31-4ECA-A2E1-3D785613FC05}"/>
    <hyperlink ref="A222" xr:uid="{4546453C-AE60-4272-8068-5151EF25A9A4}"/>
    <hyperlink ref="A223" xr:uid="{A23916B2-EBF2-4574-A1DE-4FFA751CF3B4}"/>
    <hyperlink ref="A224" xr:uid="{E00EE912-46F5-4A83-AB1F-27EC1847C458}"/>
    <hyperlink ref="A225" xr:uid="{CD59C678-5FBB-4014-9B01-C2B1D9B095F9}"/>
    <hyperlink ref="A226" xr:uid="{C97A1122-3539-4335-B434-F29C9FAF1D08}"/>
    <hyperlink ref="A227" xr:uid="{60E6831E-7CEC-4D05-AF54-2AFABE0EBE20}"/>
    <hyperlink ref="A228" xr:uid="{A51A0FF6-D4CC-4251-A93E-5A205AE79738}"/>
    <hyperlink ref="A229" xr:uid="{EAAF2412-7CA7-4A64-84DD-8373E8591810}"/>
    <hyperlink ref="A230" xr:uid="{A4F8C173-AD8D-4E57-80FC-B546DB7AAA9D}"/>
    <hyperlink ref="A231" xr:uid="{E97B23F9-620E-4D4F-9B8A-41FEAD945E71}"/>
    <hyperlink ref="A232" xr:uid="{DF1AC879-5172-4622-BC69-9F4B74B00BA2}"/>
    <hyperlink ref="A233" xr:uid="{994C9432-F8B9-4C71-99E5-1916CB02DD9F}"/>
    <hyperlink ref="A234" r:id="rId137" xr:uid="{5D9B5FAD-0DFB-40BF-9A26-6BD38D552486}"/>
    <hyperlink ref="A235" r:id="rId138" xr:uid="{483942B8-0025-4E66-B96E-CE53581E610A}"/>
    <hyperlink ref="A236" xr:uid="{DBFE77AE-BECE-4778-A291-999D91320301}"/>
    <hyperlink ref="A237" xr:uid="{3B29F09B-D0D3-4EF9-8561-C4F6CA37B3D2}"/>
    <hyperlink ref="A238" xr:uid="{3066EAB6-BDF6-4D95-BA70-784B35E52416}"/>
    <hyperlink ref="A239" xr:uid="{D0A820DA-F75A-4BD4-81DF-74D6C356FD23}"/>
    <hyperlink ref="A240" xr:uid="{20EE70FF-4388-4392-95B2-F2E5C2443ACC}"/>
  </hyperlinks>
  <pageMargins left="0.23622047244094491" right="0.23622047244094491" top="0.74803149606299213" bottom="0.74803149606299213" header="0.31496062992125984" footer="0.31496062992125984"/>
  <pageSetup paperSize="9" scale="75" orientation="landscape" r:id="rId139"/>
  <legacyDrawing r:id="rId14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180C3-2852-488A-8BCB-2B118375F7D3}">
  <sheetPr codeName="Planilha14"/>
  <dimension ref="A1:AQ33"/>
  <sheetViews>
    <sheetView zoomScaleNormal="100" workbookViewId="0">
      <pane ySplit="5" topLeftCell="A6" activePane="bottomLeft" state="frozen"/>
      <selection pane="bottomLeft" activeCell="I8" sqref="I8"/>
    </sheetView>
  </sheetViews>
  <sheetFormatPr defaultColWidth="0" defaultRowHeight="15" zeroHeight="1"/>
  <cols>
    <col min="1" max="1" width="2.140625" customWidth="1"/>
    <col min="2" max="2" width="1.140625" customWidth="1"/>
    <col min="3" max="3" width="26" customWidth="1"/>
    <col min="4" max="4" width="2" hidden="1" customWidth="1"/>
    <col min="5" max="5" width="11.7109375" customWidth="1"/>
    <col min="6" max="7" width="1.5703125" style="344" customWidth="1"/>
    <col min="8" max="8" width="2" style="345" customWidth="1"/>
    <col min="9" max="9" width="13.42578125" style="345" customWidth="1"/>
    <col min="10" max="10" width="12.28515625" style="345" customWidth="1"/>
    <col min="11" max="11" width="18" style="345" customWidth="1"/>
    <col min="12" max="12" width="1.28515625" style="345" customWidth="1"/>
    <col min="13" max="14" width="1.42578125" style="345" customWidth="1"/>
    <col min="15" max="15" width="8.5703125" style="345" customWidth="1"/>
    <col min="16" max="16" width="4.85546875" style="345" customWidth="1"/>
    <col min="17" max="17" width="3.7109375" style="345" customWidth="1"/>
    <col min="18" max="19" width="8.5703125" style="345" customWidth="1"/>
    <col min="20" max="20" width="9.42578125" style="345" customWidth="1"/>
    <col min="21" max="21" width="1.42578125" style="345" customWidth="1"/>
    <col min="22" max="22" width="1.28515625" style="345" customWidth="1"/>
    <col min="23" max="27" width="8.5703125" customWidth="1"/>
    <col min="28" max="28" width="3.42578125" style="345" customWidth="1"/>
    <col min="29" max="29" width="9.140625" style="346" customWidth="1"/>
    <col min="30" max="33" width="9.140625" customWidth="1"/>
    <col min="34" max="35" width="9.140625" hidden="1" customWidth="1"/>
    <col min="36" max="43" width="0" hidden="1" customWidth="1"/>
    <col min="44" max="16384" width="9.140625" hidden="1"/>
  </cols>
  <sheetData>
    <row r="1" spans="2:33" ht="7.5" customHeight="1"/>
    <row r="2" spans="2:33" ht="6.75" customHeight="1">
      <c r="B2" s="347"/>
      <c r="C2" s="347"/>
      <c r="D2" s="348"/>
      <c r="E2" s="347"/>
      <c r="F2" s="349"/>
      <c r="G2" s="350"/>
      <c r="H2" s="351"/>
      <c r="I2" s="351"/>
      <c r="J2" s="351"/>
      <c r="K2" s="351"/>
      <c r="L2" s="351"/>
      <c r="M2" s="350"/>
      <c r="N2" s="352"/>
      <c r="O2" s="353"/>
      <c r="P2" s="353"/>
      <c r="Q2" s="353"/>
      <c r="R2" s="353"/>
      <c r="S2" s="353"/>
      <c r="T2" s="353"/>
      <c r="U2" s="353"/>
      <c r="V2" s="350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</row>
    <row r="3" spans="2:33" ht="36" customHeight="1" thickBot="1">
      <c r="B3" s="355"/>
      <c r="C3" s="485" t="s">
        <v>296</v>
      </c>
      <c r="D3" s="486"/>
      <c r="E3" s="487"/>
      <c r="F3" s="356"/>
      <c r="G3" s="350"/>
      <c r="H3" s="357"/>
      <c r="I3" s="357"/>
      <c r="J3" s="357"/>
      <c r="K3" s="357"/>
      <c r="L3" s="351"/>
      <c r="M3" s="350"/>
      <c r="N3" s="352"/>
      <c r="O3" s="352"/>
      <c r="P3" s="352"/>
      <c r="Q3" s="352"/>
      <c r="R3" s="352"/>
      <c r="S3" s="352"/>
      <c r="T3" s="352"/>
      <c r="U3" s="352"/>
      <c r="V3" s="350"/>
      <c r="W3" s="354"/>
      <c r="X3" s="495" t="str">
        <f xml:space="preserve">   CHOOSE(     (1+(((COUNT(I:I))+(COUNT(O1:O24)))&gt;0)+(((COUNT(I:I))+(COUNT(O1:O24)))&gt;1)),"Não Selecionado",((COUNT(I:I))+(COUNT(O1:O24)))&amp;" Produto",((COUNT(I:I))+(COUNT(O1:O24)))&amp;" Produtos")</f>
        <v>Não Selecionado</v>
      </c>
      <c r="Y3" s="495"/>
      <c r="Z3" s="495"/>
      <c r="AA3" s="495"/>
      <c r="AB3" s="354"/>
      <c r="AC3" s="494"/>
      <c r="AD3" s="494"/>
      <c r="AE3" s="494"/>
      <c r="AF3" s="494"/>
      <c r="AG3" s="354"/>
    </row>
    <row r="4" spans="2:33" s="346" customFormat="1" ht="11.25" customHeight="1" thickTop="1">
      <c r="B4" s="358"/>
      <c r="C4" s="359"/>
      <c r="D4" s="358"/>
      <c r="E4" s="360"/>
      <c r="F4" s="361"/>
      <c r="G4" s="350"/>
      <c r="H4" s="104"/>
      <c r="I4" s="104"/>
      <c r="J4" s="104"/>
      <c r="K4" s="104"/>
      <c r="L4" s="351"/>
      <c r="M4" s="350"/>
      <c r="N4" s="352"/>
      <c r="O4" s="362"/>
      <c r="P4" s="362"/>
      <c r="Q4" s="362"/>
      <c r="R4" s="362"/>
      <c r="S4" s="362"/>
      <c r="T4" s="362"/>
      <c r="U4" s="362"/>
      <c r="V4" s="350"/>
      <c r="W4" s="363"/>
      <c r="X4" s="363"/>
      <c r="Y4" s="363"/>
      <c r="Z4" s="363"/>
      <c r="AA4" s="363"/>
      <c r="AB4" s="363"/>
      <c r="AC4" s="363"/>
      <c r="AD4" s="363"/>
      <c r="AE4" s="364"/>
      <c r="AF4" s="364"/>
      <c r="AG4" s="364"/>
    </row>
    <row r="5" spans="2:33" ht="27" customHeight="1" thickBot="1">
      <c r="B5" s="347"/>
      <c r="C5" s="347"/>
      <c r="D5" s="347"/>
      <c r="E5" s="365"/>
      <c r="F5" s="349"/>
      <c r="G5" s="350"/>
      <c r="H5" s="351"/>
      <c r="I5" s="104"/>
      <c r="J5" s="491"/>
      <c r="K5" s="491"/>
      <c r="L5" s="351"/>
      <c r="M5" s="350"/>
      <c r="N5" s="352"/>
      <c r="O5" s="366"/>
      <c r="P5" s="366"/>
      <c r="Q5" s="366"/>
      <c r="R5" s="366"/>
      <c r="S5" s="366"/>
      <c r="T5" s="366"/>
      <c r="U5" s="366"/>
      <c r="V5" s="350"/>
      <c r="W5" s="489"/>
      <c r="X5" s="489"/>
      <c r="Y5" s="489"/>
      <c r="Z5" s="367"/>
      <c r="AA5" s="368" t="s">
        <v>25</v>
      </c>
      <c r="AB5" s="369"/>
      <c r="AC5" s="364"/>
      <c r="AD5" s="354"/>
      <c r="AE5" s="354"/>
      <c r="AF5" s="354"/>
      <c r="AG5" s="354"/>
    </row>
    <row r="6" spans="2:33" ht="17.25" customHeight="1" thickBot="1">
      <c r="B6" s="347"/>
      <c r="C6" s="370" t="s">
        <v>127</v>
      </c>
      <c r="D6" s="80"/>
      <c r="E6" s="371"/>
      <c r="F6" s="349"/>
      <c r="G6" s="350"/>
      <c r="H6" s="351"/>
      <c r="I6" s="372" t="s">
        <v>365</v>
      </c>
      <c r="J6" s="373"/>
      <c r="K6" s="374">
        <f>SUM(K8:K21)</f>
        <v>0</v>
      </c>
      <c r="L6" s="351"/>
      <c r="M6" s="350"/>
      <c r="N6" s="352"/>
      <c r="O6" s="375" t="s">
        <v>370</v>
      </c>
      <c r="P6" s="376"/>
      <c r="Q6" s="376"/>
      <c r="R6" s="376"/>
      <c r="S6" s="492">
        <f>SUM(S8:S21)</f>
        <v>0</v>
      </c>
      <c r="T6" s="493"/>
      <c r="U6" s="366"/>
      <c r="V6" s="350"/>
      <c r="W6" s="488" t="s">
        <v>366</v>
      </c>
      <c r="X6" s="488"/>
      <c r="Y6" s="488"/>
      <c r="Z6" s="488"/>
      <c r="AA6" s="488"/>
      <c r="AB6" s="369"/>
      <c r="AC6" s="490" t="s">
        <v>368</v>
      </c>
      <c r="AD6" s="490"/>
      <c r="AE6" s="490"/>
      <c r="AF6" s="490"/>
      <c r="AG6" s="490"/>
    </row>
    <row r="7" spans="2:33" ht="18.75">
      <c r="B7" s="347"/>
      <c r="C7" s="377" t="s">
        <v>27</v>
      </c>
      <c r="D7" s="378"/>
      <c r="E7" s="379" t="s">
        <v>364</v>
      </c>
      <c r="F7" s="349"/>
      <c r="G7" s="350"/>
      <c r="H7" s="351"/>
      <c r="I7" s="380" t="s">
        <v>369</v>
      </c>
      <c r="J7" s="381" t="s">
        <v>181</v>
      </c>
      <c r="K7" s="382" t="s">
        <v>367</v>
      </c>
      <c r="L7" s="351"/>
      <c r="M7" s="350"/>
      <c r="N7" s="352"/>
      <c r="O7" s="383" t="s">
        <v>369</v>
      </c>
      <c r="P7" s="384"/>
      <c r="Q7" s="385" t="s">
        <v>181</v>
      </c>
      <c r="R7" s="385"/>
      <c r="S7" s="385" t="s">
        <v>367</v>
      </c>
      <c r="T7" s="386"/>
      <c r="U7" s="366"/>
      <c r="V7" s="350"/>
      <c r="W7" s="387">
        <v>50</v>
      </c>
      <c r="X7" s="387">
        <v>100</v>
      </c>
      <c r="Y7" s="387">
        <v>250</v>
      </c>
      <c r="Z7" s="388">
        <v>500</v>
      </c>
      <c r="AA7" s="387">
        <v>1000</v>
      </c>
      <c r="AB7" s="369"/>
      <c r="AC7" s="387">
        <v>50</v>
      </c>
      <c r="AD7" s="387">
        <v>100</v>
      </c>
      <c r="AE7" s="387">
        <v>250</v>
      </c>
      <c r="AF7" s="388">
        <v>500</v>
      </c>
      <c r="AG7" s="387">
        <v>1000</v>
      </c>
    </row>
    <row r="8" spans="2:33" ht="18.75">
      <c r="B8" s="347"/>
      <c r="C8" s="389" t="s">
        <v>122</v>
      </c>
      <c r="D8" s="390"/>
      <c r="E8" s="391" t="s">
        <v>352</v>
      </c>
      <c r="F8" s="349"/>
      <c r="G8" s="350"/>
      <c r="H8" s="351"/>
      <c r="I8" s="342"/>
      <c r="J8" s="392">
        <f t="shared" ref="J8:J9" si="0">(CHOOSE(((((ABS($I8))&gt;=(0))+((ABS($I8))&gt;=($X$7))+((ABS($I8))&gt;=($Y$7))+((ABS($I8))&gt;=($Z$7))+((ABS($I8))&gt;=($AA$7)))),W8,X8,Y8,Z8,AA8))</f>
        <v>0.22</v>
      </c>
      <c r="K8" s="393">
        <f>J8*I8</f>
        <v>0</v>
      </c>
      <c r="L8" s="351"/>
      <c r="M8" s="350"/>
      <c r="N8" s="352"/>
      <c r="O8" s="472"/>
      <c r="P8" s="473"/>
      <c r="Q8" s="481">
        <f t="shared" ref="Q8:Q14" si="1">(CHOOSE(((((ABS($O8))&gt;=(0))+((ABS($O8))&gt;=($AD$7))+((ABS($O8))&gt;=($AE$7))+((ABS($O8))&gt;=($AF$7))+((ABS($O8))&gt;=($AG$7)))),AC8,AD8,AE8,AF8,AG8))</f>
        <v>8.8000000000000009E-2</v>
      </c>
      <c r="R8" s="482"/>
      <c r="S8" s="483">
        <f>Q8*O8</f>
        <v>0</v>
      </c>
      <c r="T8" s="484"/>
      <c r="U8" s="366"/>
      <c r="V8" s="350"/>
      <c r="W8" s="394">
        <v>0.22</v>
      </c>
      <c r="X8" s="394">
        <v>0.19</v>
      </c>
      <c r="Y8" s="394">
        <v>0.16</v>
      </c>
      <c r="Z8" s="394">
        <v>0.14000000000000001</v>
      </c>
      <c r="AA8" s="394">
        <v>0.12</v>
      </c>
      <c r="AB8" s="369"/>
      <c r="AC8" s="395">
        <f>4.4/50</f>
        <v>8.8000000000000009E-2</v>
      </c>
      <c r="AD8" s="395">
        <f>8.4/100</f>
        <v>8.4000000000000005E-2</v>
      </c>
      <c r="AE8" s="395">
        <v>0.08</v>
      </c>
      <c r="AF8" s="395">
        <f>38/500</f>
        <v>7.5999999999999998E-2</v>
      </c>
      <c r="AG8" s="395">
        <v>7.1999999999999995E-2</v>
      </c>
    </row>
    <row r="9" spans="2:33" ht="18.75">
      <c r="B9" s="347"/>
      <c r="C9" s="396" t="s">
        <v>122</v>
      </c>
      <c r="D9" s="390"/>
      <c r="E9" s="391" t="s">
        <v>353</v>
      </c>
      <c r="F9" s="349"/>
      <c r="G9" s="350"/>
      <c r="H9" s="351"/>
      <c r="I9" s="342"/>
      <c r="J9" s="392">
        <f t="shared" si="0"/>
        <v>0.28000000000000003</v>
      </c>
      <c r="K9" s="397">
        <f>J9*I9</f>
        <v>0</v>
      </c>
      <c r="L9" s="351"/>
      <c r="M9" s="350"/>
      <c r="N9" s="352"/>
      <c r="O9" s="472"/>
      <c r="P9" s="473"/>
      <c r="Q9" s="468">
        <f t="shared" si="1"/>
        <v>0.11</v>
      </c>
      <c r="R9" s="469"/>
      <c r="S9" s="466">
        <f t="shared" ref="S9:S21" si="2">Q9*O9</f>
        <v>0</v>
      </c>
      <c r="T9" s="467"/>
      <c r="U9" s="366"/>
      <c r="V9" s="350"/>
      <c r="W9" s="394">
        <v>0.28000000000000003</v>
      </c>
      <c r="X9" s="394">
        <v>0.25</v>
      </c>
      <c r="Y9" s="394">
        <v>0.22</v>
      </c>
      <c r="Z9" s="394">
        <v>0.19</v>
      </c>
      <c r="AA9" s="394">
        <v>0.16</v>
      </c>
      <c r="AB9" s="369"/>
      <c r="AC9" s="395">
        <v>0.11</v>
      </c>
      <c r="AD9" s="395">
        <v>0.105</v>
      </c>
      <c r="AE9" s="395">
        <v>0.1</v>
      </c>
      <c r="AF9" s="395">
        <v>9.5000000000000001E-2</v>
      </c>
      <c r="AG9" s="395">
        <v>0.09</v>
      </c>
    </row>
    <row r="10" spans="2:33" ht="18.75">
      <c r="B10" s="347"/>
      <c r="C10" s="398" t="s">
        <v>122</v>
      </c>
      <c r="D10" s="390"/>
      <c r="E10" s="391" t="s">
        <v>371</v>
      </c>
      <c r="F10" s="349"/>
      <c r="G10" s="350"/>
      <c r="H10" s="351"/>
      <c r="I10" s="399"/>
      <c r="J10" s="400"/>
      <c r="K10" s="401"/>
      <c r="L10" s="351"/>
      <c r="M10" s="350"/>
      <c r="N10" s="352"/>
      <c r="O10" s="472"/>
      <c r="P10" s="473"/>
      <c r="Q10" s="468">
        <f t="shared" si="1"/>
        <v>0.11</v>
      </c>
      <c r="R10" s="469"/>
      <c r="S10" s="466">
        <f t="shared" ref="S10" si="3">Q10*O10</f>
        <v>0</v>
      </c>
      <c r="T10" s="467"/>
      <c r="U10" s="366"/>
      <c r="V10" s="350"/>
      <c r="W10" s="402"/>
      <c r="X10" s="403"/>
      <c r="Y10" s="403"/>
      <c r="Z10" s="403"/>
      <c r="AA10" s="404"/>
      <c r="AB10" s="369"/>
      <c r="AC10" s="395">
        <v>0.11</v>
      </c>
      <c r="AD10" s="395">
        <v>0.105</v>
      </c>
      <c r="AE10" s="395">
        <v>0.1</v>
      </c>
      <c r="AF10" s="395">
        <v>9.5000000000000001E-2</v>
      </c>
      <c r="AG10" s="395">
        <v>0.09</v>
      </c>
    </row>
    <row r="11" spans="2:33" ht="18.75">
      <c r="B11" s="347"/>
      <c r="C11" s="396" t="s">
        <v>122</v>
      </c>
      <c r="D11" s="390"/>
      <c r="E11" s="405" t="s">
        <v>354</v>
      </c>
      <c r="F11" s="349"/>
      <c r="G11" s="350"/>
      <c r="H11" s="351"/>
      <c r="I11" s="342"/>
      <c r="J11" s="392">
        <f t="shared" ref="J11:J13" si="4">(CHOOSE(((((ABS($I11))&gt;=(0))+((ABS($I11))&gt;=($X$7))+((ABS($I11))&gt;=($Y$7))+((ABS($I11))&gt;=($Z$7))+((ABS($I11))&gt;=($AA$7)))),W11,X11,Y11,Z11,AA11))</f>
        <v>0.36</v>
      </c>
      <c r="K11" s="397">
        <f t="shared" ref="K11:K20" si="5">J11*I11</f>
        <v>0</v>
      </c>
      <c r="L11" s="351"/>
      <c r="M11" s="350"/>
      <c r="N11" s="352"/>
      <c r="O11" s="472"/>
      <c r="P11" s="473"/>
      <c r="Q11" s="468">
        <f t="shared" si="1"/>
        <v>0.13200000000000001</v>
      </c>
      <c r="R11" s="469"/>
      <c r="S11" s="466">
        <f t="shared" si="2"/>
        <v>0</v>
      </c>
      <c r="T11" s="467"/>
      <c r="U11" s="366"/>
      <c r="V11" s="350"/>
      <c r="W11" s="394">
        <v>0.36</v>
      </c>
      <c r="X11" s="394">
        <v>0.32</v>
      </c>
      <c r="Y11" s="394">
        <v>0.28000000000000003</v>
      </c>
      <c r="Z11" s="394">
        <v>0.24</v>
      </c>
      <c r="AA11" s="394">
        <v>0.21</v>
      </c>
      <c r="AB11" s="369"/>
      <c r="AC11" s="395">
        <v>0.13200000000000001</v>
      </c>
      <c r="AD11" s="395">
        <v>0.126</v>
      </c>
      <c r="AE11" s="395">
        <v>0.12</v>
      </c>
      <c r="AF11" s="395">
        <v>0.114</v>
      </c>
      <c r="AG11" s="395">
        <v>0.108</v>
      </c>
    </row>
    <row r="12" spans="2:33" ht="18.75">
      <c r="B12" s="347"/>
      <c r="C12" s="406" t="s">
        <v>122</v>
      </c>
      <c r="D12" s="390"/>
      <c r="E12" s="407" t="s">
        <v>355</v>
      </c>
      <c r="F12" s="349"/>
      <c r="G12" s="350"/>
      <c r="H12" s="351"/>
      <c r="I12" s="342"/>
      <c r="J12" s="392">
        <f t="shared" si="4"/>
        <v>0.46</v>
      </c>
      <c r="K12" s="397">
        <f t="shared" si="5"/>
        <v>0</v>
      </c>
      <c r="L12" s="351"/>
      <c r="M12" s="350"/>
      <c r="N12" s="352"/>
      <c r="O12" s="472"/>
      <c r="P12" s="473"/>
      <c r="Q12" s="468">
        <f t="shared" si="1"/>
        <v>0.17599999999999999</v>
      </c>
      <c r="R12" s="469"/>
      <c r="S12" s="466">
        <f t="shared" si="2"/>
        <v>0</v>
      </c>
      <c r="T12" s="467"/>
      <c r="U12" s="366"/>
      <c r="V12" s="350"/>
      <c r="W12" s="394">
        <v>0.46</v>
      </c>
      <c r="X12" s="394">
        <v>0.4</v>
      </c>
      <c r="Y12" s="394">
        <v>0.36</v>
      </c>
      <c r="Z12" s="394">
        <v>0.31</v>
      </c>
      <c r="AA12" s="394">
        <v>0.27</v>
      </c>
      <c r="AB12" s="369"/>
      <c r="AC12" s="395">
        <v>0.17599999999999999</v>
      </c>
      <c r="AD12" s="395">
        <v>0.16800000000000001</v>
      </c>
      <c r="AE12" s="395">
        <v>0.16</v>
      </c>
      <c r="AF12" s="395">
        <v>0.152</v>
      </c>
      <c r="AG12" s="395">
        <v>0.14399999999999999</v>
      </c>
    </row>
    <row r="13" spans="2:33" ht="18.75">
      <c r="B13" s="347"/>
      <c r="C13" s="406" t="s">
        <v>122</v>
      </c>
      <c r="D13" s="390"/>
      <c r="E13" s="391" t="s">
        <v>356</v>
      </c>
      <c r="F13" s="349"/>
      <c r="G13" s="350"/>
      <c r="H13" s="351"/>
      <c r="I13" s="342"/>
      <c r="J13" s="392">
        <f t="shared" si="4"/>
        <v>0.38</v>
      </c>
      <c r="K13" s="397">
        <f t="shared" si="5"/>
        <v>0</v>
      </c>
      <c r="L13" s="351"/>
      <c r="M13" s="350"/>
      <c r="N13" s="352"/>
      <c r="O13" s="472"/>
      <c r="P13" s="473"/>
      <c r="Q13" s="468">
        <f t="shared" si="1"/>
        <v>0.154</v>
      </c>
      <c r="R13" s="469"/>
      <c r="S13" s="466">
        <f t="shared" si="2"/>
        <v>0</v>
      </c>
      <c r="T13" s="467"/>
      <c r="U13" s="366"/>
      <c r="V13" s="350"/>
      <c r="W13" s="394">
        <v>0.38</v>
      </c>
      <c r="X13" s="394">
        <v>0.34</v>
      </c>
      <c r="Y13" s="394">
        <v>0.3</v>
      </c>
      <c r="Z13" s="394">
        <v>0.26</v>
      </c>
      <c r="AA13" s="394">
        <v>0.23</v>
      </c>
      <c r="AB13" s="369"/>
      <c r="AC13" s="395">
        <v>0.154</v>
      </c>
      <c r="AD13" s="395">
        <v>0.14699999999999999</v>
      </c>
      <c r="AE13" s="395">
        <v>0.14000000000000001</v>
      </c>
      <c r="AF13" s="395">
        <v>0.13300000000000001</v>
      </c>
      <c r="AG13" s="395">
        <v>0.126</v>
      </c>
    </row>
    <row r="14" spans="2:33" ht="18.75">
      <c r="B14" s="347"/>
      <c r="C14" s="406" t="s">
        <v>122</v>
      </c>
      <c r="D14" s="390"/>
      <c r="E14" s="391" t="s">
        <v>357</v>
      </c>
      <c r="F14" s="349"/>
      <c r="G14" s="350"/>
      <c r="H14" s="351"/>
      <c r="I14" s="342"/>
      <c r="J14" s="392">
        <f>(CHOOSE(((((ABS($I14))&gt;=(0))+((ABS($I14))&gt;=($X$7))+((ABS($I14))&gt;=($Y$7))+((ABS($I14))&gt;=($Z$7))+((ABS($I14))&gt;=($AA$7)))),W14,X14,Y14,Z14,AA14))</f>
        <v>0.56000000000000005</v>
      </c>
      <c r="K14" s="397">
        <f t="shared" si="5"/>
        <v>0</v>
      </c>
      <c r="L14" s="351"/>
      <c r="M14" s="350"/>
      <c r="N14" s="352"/>
      <c r="O14" s="472"/>
      <c r="P14" s="473"/>
      <c r="Q14" s="468">
        <f t="shared" si="1"/>
        <v>0.22</v>
      </c>
      <c r="R14" s="469"/>
      <c r="S14" s="466">
        <f t="shared" si="2"/>
        <v>0</v>
      </c>
      <c r="T14" s="467"/>
      <c r="U14" s="366"/>
      <c r="V14" s="350"/>
      <c r="W14" s="394">
        <v>0.56000000000000005</v>
      </c>
      <c r="X14" s="394">
        <v>0.5</v>
      </c>
      <c r="Y14" s="394">
        <v>0.44</v>
      </c>
      <c r="Z14" s="394">
        <v>0.39</v>
      </c>
      <c r="AA14" s="394">
        <v>0.33</v>
      </c>
      <c r="AB14" s="369"/>
      <c r="AC14" s="395">
        <f>11/50</f>
        <v>0.22</v>
      </c>
      <c r="AD14" s="395">
        <v>0.21</v>
      </c>
      <c r="AE14" s="395">
        <v>0.2</v>
      </c>
      <c r="AF14" s="395">
        <f>95/500</f>
        <v>0.19</v>
      </c>
      <c r="AG14" s="395">
        <v>0.18</v>
      </c>
    </row>
    <row r="15" spans="2:33" ht="18.75">
      <c r="B15" s="347"/>
      <c r="C15" s="406" t="s">
        <v>122</v>
      </c>
      <c r="D15" s="390"/>
      <c r="E15" s="391" t="s">
        <v>358</v>
      </c>
      <c r="F15" s="349"/>
      <c r="G15" s="350"/>
      <c r="H15" s="351"/>
      <c r="I15" s="342"/>
      <c r="J15" s="392">
        <f>(CHOOSE(((((ABS($I15))&gt;=(0))+((ABS($I15))&gt;=($X$7))+((ABS($I15))&gt;=($Y$7))+((ABS($I15))&gt;=($Z$7))+((ABS($I15))&gt;=($AA$7)))),W15,X15,Y15,Z15,AA15))</f>
        <v>0.62</v>
      </c>
      <c r="K15" s="397">
        <f t="shared" si="5"/>
        <v>0</v>
      </c>
      <c r="L15" s="351"/>
      <c r="M15" s="350"/>
      <c r="N15" s="352"/>
      <c r="O15" s="472"/>
      <c r="P15" s="473"/>
      <c r="Q15" s="468">
        <f>(CHOOSE(((((ABS($O15))&gt;=(0))+((ABS($O15))&gt;=($AD$7))+((ABS($O15))&gt;=($AE$7))+((ABS($O15))&gt;=($AF$7))+((ABS($O15))&gt;=($AG$7)))),AC15,AD15,AE15,AF15,AG15))</f>
        <v>0.24199999999999999</v>
      </c>
      <c r="R15" s="469"/>
      <c r="S15" s="466">
        <f t="shared" si="2"/>
        <v>0</v>
      </c>
      <c r="T15" s="467"/>
      <c r="U15" s="366"/>
      <c r="V15" s="350"/>
      <c r="W15" s="394">
        <v>0.62</v>
      </c>
      <c r="X15" s="394">
        <v>0.56000000000000005</v>
      </c>
      <c r="Y15" s="394">
        <v>0.5</v>
      </c>
      <c r="Z15" s="394">
        <v>0.43</v>
      </c>
      <c r="AA15" s="394">
        <v>0.37</v>
      </c>
      <c r="AB15" s="369"/>
      <c r="AC15" s="395">
        <v>0.24199999999999999</v>
      </c>
      <c r="AD15" s="395">
        <v>0.23100000000000001</v>
      </c>
      <c r="AE15" s="395">
        <v>0.22</v>
      </c>
      <c r="AF15" s="395">
        <v>0.20899999999999999</v>
      </c>
      <c r="AG15" s="395">
        <v>0.19800000000000001</v>
      </c>
    </row>
    <row r="16" spans="2:33" ht="18.75">
      <c r="B16" s="347"/>
      <c r="C16" s="406" t="s">
        <v>122</v>
      </c>
      <c r="D16" s="390"/>
      <c r="E16" s="391" t="s">
        <v>359</v>
      </c>
      <c r="F16" s="349"/>
      <c r="G16" s="350"/>
      <c r="H16" s="351"/>
      <c r="I16" s="342"/>
      <c r="J16" s="392">
        <f t="shared" ref="J16:J20" si="6">(CHOOSE(((((ABS($I16))&gt;=(0))+((ABS($I16))&gt;=($X$7))+((ABS($I16))&gt;=($Y$7))+((ABS($I16))&gt;=($Z$7))+((ABS($I16))&gt;=($AA$7)))),W16,X16,Y16,Z16,AA16))</f>
        <v>0.86</v>
      </c>
      <c r="K16" s="397">
        <f t="shared" si="5"/>
        <v>0</v>
      </c>
      <c r="L16" s="351"/>
      <c r="M16" s="350"/>
      <c r="N16" s="352"/>
      <c r="O16" s="472"/>
      <c r="P16" s="473"/>
      <c r="Q16" s="468">
        <f t="shared" ref="Q16:Q21" si="7">(CHOOSE(((((ABS($O16))&gt;=(0))+((ABS($O16))&gt;=($AD$7))+((ABS($O16))&gt;=($AE$7))+((ABS($O16))&gt;=($AF$7))+((ABS($O16))&gt;=($AG$7)))),AC16,AD16,AE16,AF16,AG16))</f>
        <v>0.35199999999999998</v>
      </c>
      <c r="R16" s="469"/>
      <c r="S16" s="466">
        <f t="shared" si="2"/>
        <v>0</v>
      </c>
      <c r="T16" s="467"/>
      <c r="U16" s="366"/>
      <c r="V16" s="350"/>
      <c r="W16" s="394">
        <v>0.86</v>
      </c>
      <c r="X16" s="394">
        <v>0.77</v>
      </c>
      <c r="Y16" s="394">
        <v>0.68</v>
      </c>
      <c r="Z16" s="394">
        <v>0.6</v>
      </c>
      <c r="AA16" s="394">
        <v>0.51</v>
      </c>
      <c r="AB16" s="369"/>
      <c r="AC16" s="395">
        <v>0.35199999999999998</v>
      </c>
      <c r="AD16" s="395">
        <v>0.33600000000000002</v>
      </c>
      <c r="AE16" s="395">
        <v>0.32</v>
      </c>
      <c r="AF16" s="395">
        <v>0.30399999999999999</v>
      </c>
      <c r="AG16" s="395">
        <v>0.28799999999999998</v>
      </c>
    </row>
    <row r="17" spans="2:42" ht="18.75">
      <c r="B17" s="347"/>
      <c r="C17" s="408" t="s">
        <v>122</v>
      </c>
      <c r="D17" s="390"/>
      <c r="E17" s="391" t="s">
        <v>360</v>
      </c>
      <c r="F17" s="349"/>
      <c r="G17" s="350"/>
      <c r="H17" s="351"/>
      <c r="I17" s="342"/>
      <c r="J17" s="392">
        <f t="shared" si="6"/>
        <v>1.18</v>
      </c>
      <c r="K17" s="397">
        <f t="shared" si="5"/>
        <v>0</v>
      </c>
      <c r="L17" s="351"/>
      <c r="M17" s="350"/>
      <c r="N17" s="352"/>
      <c r="O17" s="472"/>
      <c r="P17" s="473"/>
      <c r="Q17" s="468">
        <f t="shared" si="7"/>
        <v>0.48399999999999999</v>
      </c>
      <c r="R17" s="469"/>
      <c r="S17" s="466">
        <f t="shared" si="2"/>
        <v>0</v>
      </c>
      <c r="T17" s="467"/>
      <c r="U17" s="366"/>
      <c r="V17" s="350"/>
      <c r="W17" s="394">
        <v>1.18</v>
      </c>
      <c r="X17" s="394">
        <v>1.05</v>
      </c>
      <c r="Y17" s="394">
        <v>0.93</v>
      </c>
      <c r="Z17" s="394">
        <v>0.81</v>
      </c>
      <c r="AA17" s="394">
        <v>0.7</v>
      </c>
      <c r="AB17" s="369"/>
      <c r="AC17" s="395">
        <v>0.48399999999999999</v>
      </c>
      <c r="AD17" s="395">
        <v>0.46200000000000002</v>
      </c>
      <c r="AE17" s="395">
        <v>0.44</v>
      </c>
      <c r="AF17" s="395">
        <v>0.41799999999999998</v>
      </c>
      <c r="AG17" s="395">
        <v>0.39600000000000002</v>
      </c>
    </row>
    <row r="18" spans="2:42" ht="18.75">
      <c r="B18" s="347"/>
      <c r="C18" s="408" t="s">
        <v>122</v>
      </c>
      <c r="D18" s="409"/>
      <c r="E18" s="391" t="s">
        <v>361</v>
      </c>
      <c r="F18" s="349"/>
      <c r="G18" s="350"/>
      <c r="H18" s="351"/>
      <c r="I18" s="342"/>
      <c r="J18" s="392">
        <f t="shared" si="6"/>
        <v>1.82</v>
      </c>
      <c r="K18" s="397">
        <f t="shared" si="5"/>
        <v>0</v>
      </c>
      <c r="L18" s="351"/>
      <c r="M18" s="350"/>
      <c r="N18" s="352"/>
      <c r="O18" s="472"/>
      <c r="P18" s="473"/>
      <c r="Q18" s="468">
        <f t="shared" si="7"/>
        <v>0.748</v>
      </c>
      <c r="R18" s="469"/>
      <c r="S18" s="466">
        <f t="shared" si="2"/>
        <v>0</v>
      </c>
      <c r="T18" s="467"/>
      <c r="U18" s="366"/>
      <c r="V18" s="350"/>
      <c r="W18" s="394">
        <v>1.82</v>
      </c>
      <c r="X18" s="394">
        <v>1.63</v>
      </c>
      <c r="Y18" s="394">
        <v>1.44</v>
      </c>
      <c r="Z18" s="394">
        <v>1.26</v>
      </c>
      <c r="AA18" s="394">
        <v>1.08</v>
      </c>
      <c r="AB18" s="369"/>
      <c r="AC18" s="395">
        <v>0.748</v>
      </c>
      <c r="AD18" s="395">
        <v>0.71399999999999997</v>
      </c>
      <c r="AE18" s="395">
        <f>170/250</f>
        <v>0.68</v>
      </c>
      <c r="AF18" s="395">
        <v>0.64600000000000002</v>
      </c>
      <c r="AG18" s="395">
        <v>0.61199999999999999</v>
      </c>
    </row>
    <row r="19" spans="2:42" ht="18.75">
      <c r="B19" s="347"/>
      <c r="C19" s="408" t="s">
        <v>122</v>
      </c>
      <c r="D19" s="390"/>
      <c r="E19" s="391" t="s">
        <v>362</v>
      </c>
      <c r="F19" s="349"/>
      <c r="G19" s="350"/>
      <c r="H19" s="351"/>
      <c r="I19" s="342"/>
      <c r="J19" s="392">
        <f t="shared" si="6"/>
        <v>2.16</v>
      </c>
      <c r="K19" s="397">
        <f t="shared" si="5"/>
        <v>0</v>
      </c>
      <c r="L19" s="351"/>
      <c r="M19" s="350"/>
      <c r="N19" s="352"/>
      <c r="O19" s="472"/>
      <c r="P19" s="473"/>
      <c r="Q19" s="468">
        <f t="shared" si="7"/>
        <v>0.90200000000000002</v>
      </c>
      <c r="R19" s="469"/>
      <c r="S19" s="466">
        <f t="shared" si="2"/>
        <v>0</v>
      </c>
      <c r="T19" s="467"/>
      <c r="U19" s="366"/>
      <c r="V19" s="350"/>
      <c r="W19" s="394">
        <v>2.16</v>
      </c>
      <c r="X19" s="394">
        <v>1.94</v>
      </c>
      <c r="Y19" s="394">
        <v>1.72</v>
      </c>
      <c r="Z19" s="394">
        <v>1.51</v>
      </c>
      <c r="AA19" s="394">
        <v>1.29</v>
      </c>
      <c r="AB19" s="369"/>
      <c r="AC19" s="395">
        <v>0.90200000000000002</v>
      </c>
      <c r="AD19" s="395">
        <v>0.86099999999999999</v>
      </c>
      <c r="AE19" s="395">
        <f>205/250</f>
        <v>0.82</v>
      </c>
      <c r="AF19" s="395">
        <v>0.77900000000000003</v>
      </c>
      <c r="AG19" s="395">
        <v>0.73799999999999999</v>
      </c>
    </row>
    <row r="20" spans="2:42" ht="18.75">
      <c r="B20" s="347"/>
      <c r="C20" s="408" t="s">
        <v>122</v>
      </c>
      <c r="D20" s="390"/>
      <c r="E20" s="391" t="s">
        <v>363</v>
      </c>
      <c r="F20" s="349"/>
      <c r="G20" s="350"/>
      <c r="H20" s="351"/>
      <c r="I20" s="342"/>
      <c r="J20" s="392">
        <f t="shared" si="6"/>
        <v>2.7</v>
      </c>
      <c r="K20" s="397">
        <f t="shared" si="5"/>
        <v>0</v>
      </c>
      <c r="L20" s="351"/>
      <c r="M20" s="350"/>
      <c r="N20" s="352"/>
      <c r="O20" s="472"/>
      <c r="P20" s="473"/>
      <c r="Q20" s="468">
        <f t="shared" si="7"/>
        <v>1.1220000000000001</v>
      </c>
      <c r="R20" s="469"/>
      <c r="S20" s="466">
        <f t="shared" ref="S20" si="8">Q20*O20</f>
        <v>0</v>
      </c>
      <c r="T20" s="467"/>
      <c r="U20" s="366"/>
      <c r="V20" s="350"/>
      <c r="W20" s="394">
        <v>2.7</v>
      </c>
      <c r="X20" s="394">
        <v>2.4300000000000002</v>
      </c>
      <c r="Y20" s="394">
        <v>2.16</v>
      </c>
      <c r="Z20" s="394">
        <v>1.88</v>
      </c>
      <c r="AA20" s="394">
        <v>1.62</v>
      </c>
      <c r="AB20" s="369"/>
      <c r="AC20" s="395">
        <v>1.1220000000000001</v>
      </c>
      <c r="AD20" s="395">
        <v>1.071</v>
      </c>
      <c r="AE20" s="395">
        <v>1.02</v>
      </c>
      <c r="AF20" s="395">
        <f>485.5/500</f>
        <v>0.97099999999999997</v>
      </c>
      <c r="AG20" s="395">
        <v>0.91800000000000004</v>
      </c>
    </row>
    <row r="21" spans="2:42" s="346" customFormat="1" ht="19.5" thickBot="1">
      <c r="B21" s="347"/>
      <c r="C21" s="410" t="s">
        <v>122</v>
      </c>
      <c r="D21" s="411"/>
      <c r="E21" s="412" t="s">
        <v>372</v>
      </c>
      <c r="F21" s="349"/>
      <c r="G21" s="350"/>
      <c r="H21" s="351"/>
      <c r="I21" s="413"/>
      <c r="J21" s="414"/>
      <c r="K21" s="415"/>
      <c r="L21" s="351"/>
      <c r="M21" s="350"/>
      <c r="N21" s="352"/>
      <c r="O21" s="474"/>
      <c r="P21" s="475"/>
      <c r="Q21" s="476">
        <f t="shared" si="7"/>
        <v>1.32</v>
      </c>
      <c r="R21" s="477"/>
      <c r="S21" s="478">
        <f t="shared" si="2"/>
        <v>0</v>
      </c>
      <c r="T21" s="479"/>
      <c r="U21" s="366"/>
      <c r="V21" s="350"/>
      <c r="W21" s="416"/>
      <c r="X21" s="417"/>
      <c r="Y21" s="417"/>
      <c r="Z21" s="417"/>
      <c r="AA21" s="418"/>
      <c r="AB21" s="369"/>
      <c r="AC21" s="395">
        <v>1.32</v>
      </c>
      <c r="AD21" s="395">
        <v>1.26</v>
      </c>
      <c r="AE21" s="395">
        <v>1.2</v>
      </c>
      <c r="AF21" s="395">
        <v>1.1399999999999999</v>
      </c>
      <c r="AG21" s="395">
        <v>1.08</v>
      </c>
      <c r="AH21"/>
      <c r="AI21"/>
      <c r="AJ21"/>
      <c r="AK21"/>
      <c r="AL21"/>
      <c r="AM21"/>
      <c r="AN21"/>
      <c r="AO21"/>
      <c r="AP21"/>
    </row>
    <row r="22" spans="2:42" s="346" customFormat="1" ht="6.75" customHeight="1">
      <c r="B22" s="347"/>
      <c r="C22" s="347"/>
      <c r="D22" s="347"/>
      <c r="E22" s="347"/>
      <c r="F22" s="349"/>
      <c r="G22" s="350"/>
      <c r="H22" s="351"/>
      <c r="I22" s="351"/>
      <c r="J22" s="351"/>
      <c r="K22" s="351"/>
      <c r="L22" s="351"/>
      <c r="M22" s="350"/>
      <c r="N22" s="352"/>
      <c r="O22" s="353"/>
      <c r="P22" s="353"/>
      <c r="Q22" s="353"/>
      <c r="R22" s="353"/>
      <c r="S22" s="353"/>
      <c r="T22" s="353"/>
      <c r="U22" s="353"/>
      <c r="V22" s="350"/>
      <c r="W22" s="354"/>
      <c r="X22" s="354"/>
      <c r="Y22" s="354"/>
      <c r="Z22" s="354"/>
      <c r="AA22" s="354"/>
      <c r="AB22" s="419"/>
      <c r="AC22" s="364"/>
      <c r="AD22" s="354"/>
      <c r="AE22" s="354"/>
      <c r="AF22" s="354"/>
      <c r="AG22" s="354"/>
      <c r="AH22"/>
      <c r="AI22"/>
      <c r="AJ22"/>
      <c r="AK22"/>
      <c r="AL22"/>
      <c r="AM22"/>
      <c r="AN22"/>
      <c r="AO22"/>
      <c r="AP22"/>
    </row>
    <row r="23" spans="2:42" s="346" customFormat="1" ht="6.75" customHeight="1">
      <c r="B23" s="420"/>
      <c r="C23" s="420"/>
      <c r="D23" s="420"/>
      <c r="E23" s="42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/>
      <c r="AI23"/>
      <c r="AJ23"/>
      <c r="AK23"/>
      <c r="AL23"/>
      <c r="AM23"/>
      <c r="AN23"/>
      <c r="AO23"/>
      <c r="AP23"/>
    </row>
    <row r="24" spans="2:42" s="345" customFormat="1" ht="36" customHeight="1">
      <c r="B24" s="361"/>
      <c r="C24" s="361"/>
      <c r="D24" s="361"/>
      <c r="E24" s="361"/>
      <c r="F24" s="361"/>
      <c r="G24" s="361"/>
      <c r="H24" s="361"/>
      <c r="I24" s="361"/>
      <c r="J24" s="361"/>
      <c r="K24" s="361"/>
      <c r="L24" s="361"/>
      <c r="M24" s="361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</row>
    <row r="25" spans="2:42" ht="15.75" thickBot="1">
      <c r="B25" s="361"/>
      <c r="C25" s="361"/>
      <c r="D25" s="361"/>
      <c r="E25" s="361"/>
      <c r="F25" s="361"/>
      <c r="G25" s="361"/>
      <c r="H25" s="361"/>
      <c r="I25" s="361"/>
      <c r="J25" s="361"/>
      <c r="K25" s="361"/>
      <c r="L25" s="361"/>
      <c r="M25" s="361"/>
      <c r="N25" s="419"/>
      <c r="O25" s="419"/>
      <c r="P25" s="419"/>
      <c r="Q25" s="419"/>
      <c r="R25" s="419"/>
      <c r="S25" s="419"/>
      <c r="T25" s="419"/>
      <c r="U25" s="419"/>
      <c r="V25" s="419"/>
      <c r="W25" s="354"/>
      <c r="X25" s="354"/>
      <c r="Y25" s="354"/>
      <c r="Z25" s="354"/>
      <c r="AA25" s="354"/>
      <c r="AB25" s="419"/>
      <c r="AC25" s="364"/>
      <c r="AD25" s="354"/>
      <c r="AE25" s="354"/>
      <c r="AF25" s="354"/>
      <c r="AG25" s="354"/>
    </row>
    <row r="26" spans="2:42" ht="18" thickBot="1">
      <c r="B26" s="361"/>
      <c r="C26" s="370" t="s">
        <v>127</v>
      </c>
      <c r="D26" s="80"/>
      <c r="E26" s="80"/>
      <c r="F26" s="361"/>
      <c r="G26" s="361"/>
      <c r="H26" s="361"/>
      <c r="I26" s="372"/>
      <c r="J26" s="373"/>
      <c r="K26" s="374">
        <f>SUM(K28:K41)</f>
        <v>0</v>
      </c>
      <c r="L26" s="361"/>
      <c r="M26" s="361"/>
      <c r="N26" s="419"/>
      <c r="O26" s="471" t="s">
        <v>368</v>
      </c>
      <c r="P26" s="471"/>
      <c r="Q26" s="471"/>
      <c r="R26" s="471"/>
      <c r="S26" s="471"/>
      <c r="T26" s="471"/>
      <c r="U26" s="419"/>
      <c r="V26" s="419"/>
      <c r="W26" s="354"/>
      <c r="X26" s="354"/>
      <c r="Y26" s="354"/>
      <c r="Z26" s="354"/>
      <c r="AA26" s="354"/>
      <c r="AB26" s="419"/>
      <c r="AC26" s="364"/>
      <c r="AD26" s="354"/>
      <c r="AE26" s="354"/>
      <c r="AF26" s="354"/>
      <c r="AG26" s="354"/>
    </row>
    <row r="27" spans="2:42">
      <c r="B27" s="361"/>
      <c r="C27" s="421" t="s">
        <v>27</v>
      </c>
      <c r="D27" s="422"/>
      <c r="E27" s="423" t="s">
        <v>364</v>
      </c>
      <c r="F27" s="361"/>
      <c r="G27" s="361"/>
      <c r="H27" s="361"/>
      <c r="I27" s="383" t="s">
        <v>369</v>
      </c>
      <c r="J27" s="385" t="s">
        <v>181</v>
      </c>
      <c r="K27" s="386" t="s">
        <v>367</v>
      </c>
      <c r="L27" s="361"/>
      <c r="M27" s="361"/>
      <c r="N27" s="419"/>
      <c r="O27" s="424">
        <v>50</v>
      </c>
      <c r="P27" s="480">
        <v>100</v>
      </c>
      <c r="Q27" s="480"/>
      <c r="R27" s="424">
        <v>250</v>
      </c>
      <c r="S27" s="388">
        <v>500</v>
      </c>
      <c r="T27" s="424">
        <v>1000</v>
      </c>
      <c r="U27" s="419"/>
      <c r="V27" s="419"/>
      <c r="W27" s="354"/>
      <c r="X27" s="354"/>
      <c r="Y27" s="354"/>
      <c r="Z27" s="354"/>
      <c r="AA27" s="354"/>
      <c r="AB27" s="419"/>
      <c r="AC27" s="364"/>
      <c r="AD27" s="354"/>
      <c r="AE27" s="354"/>
      <c r="AF27" s="354"/>
      <c r="AG27" s="354"/>
    </row>
    <row r="28" spans="2:42" ht="18.75">
      <c r="B28" s="361"/>
      <c r="C28" s="425" t="s">
        <v>126</v>
      </c>
      <c r="D28" s="1"/>
      <c r="E28" s="426" t="s">
        <v>348</v>
      </c>
      <c r="F28" s="361"/>
      <c r="G28" s="361"/>
      <c r="H28" s="361"/>
      <c r="I28" s="342"/>
      <c r="J28" s="392">
        <f>(CHOOSE(((((ABS($I28))&gt;=(0))+((ABS($I28))&gt;=($AD$7))+((ABS($I28))&gt;=($AE$7))+((ABS($I28))&gt;=($AF$7))+((ABS($I28))&gt;=($AG$7)))),O28,P28,R28,S28,T28))</f>
        <v>0.22</v>
      </c>
      <c r="K28" s="393">
        <f>J28*I28</f>
        <v>0</v>
      </c>
      <c r="L28" s="361"/>
      <c r="M28" s="361"/>
      <c r="N28" s="419"/>
      <c r="O28" s="427">
        <v>0.22</v>
      </c>
      <c r="P28" s="470">
        <v>0.2</v>
      </c>
      <c r="Q28" s="470"/>
      <c r="R28" s="427">
        <v>0.17</v>
      </c>
      <c r="S28" s="394">
        <v>0.15</v>
      </c>
      <c r="T28" s="427">
        <v>0.13</v>
      </c>
      <c r="U28" s="419"/>
      <c r="V28" s="419"/>
      <c r="W28" s="354"/>
      <c r="X28" s="354"/>
      <c r="Y28" s="354"/>
      <c r="Z28" s="354"/>
      <c r="AA28" s="354"/>
      <c r="AB28" s="419"/>
      <c r="AC28" s="364"/>
      <c r="AD28" s="354"/>
      <c r="AE28" s="354"/>
      <c r="AF28" s="354"/>
      <c r="AG28" s="354"/>
    </row>
    <row r="29" spans="2:42" ht="18.75">
      <c r="B29" s="361"/>
      <c r="C29" s="406" t="s">
        <v>126</v>
      </c>
      <c r="D29" s="390"/>
      <c r="E29" s="428" t="s">
        <v>349</v>
      </c>
      <c r="F29" s="361"/>
      <c r="G29" s="361"/>
      <c r="H29" s="361"/>
      <c r="I29" s="342"/>
      <c r="J29" s="392">
        <f t="shared" ref="J29:J32" si="9">(CHOOSE(((((ABS($I29))&gt;=(0))+((ABS($I29))&gt;=($AD$7))+((ABS($I29))&gt;=($AE$7))+((ABS($I29))&gt;=($AF$7))+((ABS($I29))&gt;=($AG$7)))),O29,P29,R29,S29,T29))</f>
        <v>0.18</v>
      </c>
      <c r="K29" s="397">
        <f>J29*I29</f>
        <v>0</v>
      </c>
      <c r="L29" s="361"/>
      <c r="M29" s="361"/>
      <c r="N29" s="419"/>
      <c r="O29" s="427">
        <v>0.18</v>
      </c>
      <c r="P29" s="470">
        <v>0.15</v>
      </c>
      <c r="Q29" s="470"/>
      <c r="R29" s="427">
        <v>0.13</v>
      </c>
      <c r="S29" s="394">
        <v>0.11</v>
      </c>
      <c r="T29" s="427">
        <v>0.1</v>
      </c>
      <c r="U29" s="419"/>
      <c r="V29" s="419"/>
      <c r="W29" s="354"/>
      <c r="X29" s="354"/>
      <c r="Y29" s="354"/>
      <c r="Z29" s="354"/>
      <c r="AA29" s="354"/>
      <c r="AB29" s="419"/>
      <c r="AC29" s="364"/>
      <c r="AD29" s="354"/>
      <c r="AE29" s="354"/>
      <c r="AF29" s="354"/>
      <c r="AG29" s="354"/>
    </row>
    <row r="30" spans="2:42" ht="18.75">
      <c r="B30" s="361"/>
      <c r="C30" s="406" t="s">
        <v>126</v>
      </c>
      <c r="D30" s="390"/>
      <c r="E30" s="429" t="s">
        <v>350</v>
      </c>
      <c r="F30" s="361"/>
      <c r="G30" s="361"/>
      <c r="H30" s="361"/>
      <c r="I30" s="342"/>
      <c r="J30" s="392">
        <f t="shared" si="9"/>
        <v>0.26</v>
      </c>
      <c r="K30" s="397">
        <f t="shared" ref="K30:K32" si="10">J30*I30</f>
        <v>0</v>
      </c>
      <c r="L30" s="361"/>
      <c r="M30" s="361"/>
      <c r="N30" s="419"/>
      <c r="O30" s="427">
        <v>0.26</v>
      </c>
      <c r="P30" s="470">
        <v>0.23</v>
      </c>
      <c r="Q30" s="470"/>
      <c r="R30" s="427">
        <v>0.21</v>
      </c>
      <c r="S30" s="394">
        <v>0.18</v>
      </c>
      <c r="T30" s="427">
        <v>0.15</v>
      </c>
      <c r="U30" s="419"/>
      <c r="V30" s="419"/>
      <c r="W30" s="354"/>
      <c r="X30" s="354"/>
      <c r="Y30" s="354"/>
      <c r="Z30" s="354"/>
      <c r="AA30" s="354"/>
      <c r="AB30" s="419"/>
      <c r="AC30" s="364"/>
      <c r="AD30" s="354"/>
      <c r="AE30" s="354"/>
      <c r="AF30" s="354"/>
      <c r="AG30" s="354"/>
    </row>
    <row r="31" spans="2:42" ht="18.75">
      <c r="B31" s="361"/>
      <c r="C31" s="406" t="s">
        <v>126</v>
      </c>
      <c r="D31" s="390"/>
      <c r="E31" s="430" t="s">
        <v>351</v>
      </c>
      <c r="F31" s="361"/>
      <c r="G31" s="361"/>
      <c r="H31" s="361"/>
      <c r="I31" s="342"/>
      <c r="J31" s="392">
        <f t="shared" si="9"/>
        <v>0.34</v>
      </c>
      <c r="K31" s="397">
        <f t="shared" si="10"/>
        <v>0</v>
      </c>
      <c r="L31" s="361"/>
      <c r="M31" s="361"/>
      <c r="N31" s="419"/>
      <c r="O31" s="427">
        <v>0.34</v>
      </c>
      <c r="P31" s="470">
        <v>0.31</v>
      </c>
      <c r="Q31" s="470"/>
      <c r="R31" s="427">
        <v>0.27</v>
      </c>
      <c r="S31" s="394">
        <v>0.24</v>
      </c>
      <c r="T31" s="427">
        <v>0.2</v>
      </c>
      <c r="U31" s="419"/>
      <c r="V31" s="419"/>
      <c r="W31" s="354"/>
      <c r="X31" s="354"/>
      <c r="Y31" s="354"/>
      <c r="Z31" s="354"/>
      <c r="AA31" s="354"/>
      <c r="AB31" s="419"/>
      <c r="AC31" s="364"/>
      <c r="AD31" s="354"/>
      <c r="AE31" s="354"/>
      <c r="AF31" s="354"/>
      <c r="AG31" s="354"/>
    </row>
    <row r="32" spans="2:42" ht="19.5" thickBot="1">
      <c r="B32" s="361"/>
      <c r="C32" s="410" t="s">
        <v>125</v>
      </c>
      <c r="D32" s="411"/>
      <c r="E32" s="431" t="s">
        <v>375</v>
      </c>
      <c r="F32" s="361"/>
      <c r="G32" s="361"/>
      <c r="H32" s="361"/>
      <c r="I32" s="343"/>
      <c r="J32" s="432">
        <f t="shared" si="9"/>
        <v>0</v>
      </c>
      <c r="K32" s="433">
        <f t="shared" si="10"/>
        <v>0</v>
      </c>
      <c r="L32" s="361"/>
      <c r="M32" s="361"/>
      <c r="N32" s="419"/>
      <c r="O32" s="416"/>
      <c r="P32" s="416"/>
      <c r="Q32" s="416"/>
      <c r="R32" s="416"/>
      <c r="S32" s="394">
        <v>0.05</v>
      </c>
      <c r="T32" s="427">
        <v>0.04</v>
      </c>
      <c r="U32" s="419"/>
      <c r="V32" s="419"/>
      <c r="W32" s="354"/>
      <c r="X32" s="354"/>
      <c r="Y32" s="419"/>
      <c r="Z32" s="354"/>
      <c r="AA32" s="354"/>
      <c r="AB32" s="419"/>
      <c r="AC32" s="364"/>
      <c r="AD32" s="354"/>
      <c r="AE32" s="354"/>
      <c r="AF32" s="354"/>
      <c r="AG32" s="354"/>
    </row>
    <row r="33" spans="2:33">
      <c r="B33" s="361"/>
      <c r="C33" s="361"/>
      <c r="D33" s="361"/>
      <c r="E33" s="361"/>
      <c r="F33" s="361"/>
      <c r="G33" s="361"/>
      <c r="H33" s="361"/>
      <c r="I33" s="361"/>
      <c r="J33" s="361"/>
      <c r="K33" s="361"/>
      <c r="L33" s="361"/>
      <c r="M33" s="361"/>
      <c r="N33" s="419"/>
      <c r="O33" s="354"/>
      <c r="P33" s="354"/>
      <c r="Q33" s="354"/>
      <c r="R33" s="354"/>
      <c r="S33" s="354"/>
      <c r="T33" s="354"/>
      <c r="U33" s="354"/>
      <c r="V33" s="354"/>
      <c r="W33" s="354"/>
      <c r="X33" s="354"/>
      <c r="Y33" s="354"/>
      <c r="Z33" s="354"/>
      <c r="AA33" s="354"/>
      <c r="AB33" s="354"/>
      <c r="AC33" s="354"/>
      <c r="AD33" s="354"/>
      <c r="AE33" s="354"/>
      <c r="AF33" s="354"/>
      <c r="AG33" s="354"/>
    </row>
  </sheetData>
  <sheetProtection sheet="1" selectLockedCells="1" sort="0" autoFilter="0"/>
  <protectedRanges>
    <protectedRange algorithmName="SHA-512" hashValue="k9VC5lXXP+C/Z4i1kKNYyoiYM24qJpp0MIcsDkakHoejIQCT/FsQEuPC3tn1YLdaztkzWo5ASlTa4r7jtBR68A==" saltValue="ngoTRzb/PnYm550JgpzO4w==" spinCount="100000" sqref="W8:AA9 AC8:AG21 W11:AA20" name="Intervalo1_1"/>
    <protectedRange algorithmName="SHA-512" hashValue="k9VC5lXXP+C/Z4i1kKNYyoiYM24qJpp0MIcsDkakHoejIQCT/FsQEuPC3tn1YLdaztkzWo5ASlTa4r7jtBR68A==" saltValue="ngoTRzb/PnYm550JgpzO4w==" spinCount="100000" sqref="R28:T31 O28:P31 S32:T32" name="Intervalo1_1_2"/>
  </protectedRanges>
  <mergeCells count="56">
    <mergeCell ref="C3:E3"/>
    <mergeCell ref="W6:AA6"/>
    <mergeCell ref="W5:Y5"/>
    <mergeCell ref="AC6:AG6"/>
    <mergeCell ref="J5:K5"/>
    <mergeCell ref="S6:T6"/>
    <mergeCell ref="AC3:AF3"/>
    <mergeCell ref="X3:AA3"/>
    <mergeCell ref="O8:P8"/>
    <mergeCell ref="Q8:R8"/>
    <mergeCell ref="S8:T8"/>
    <mergeCell ref="O9:P9"/>
    <mergeCell ref="Q9:R9"/>
    <mergeCell ref="S9:T9"/>
    <mergeCell ref="O10:P10"/>
    <mergeCell ref="Q10:R10"/>
    <mergeCell ref="S10:T10"/>
    <mergeCell ref="S21:T21"/>
    <mergeCell ref="P27:Q27"/>
    <mergeCell ref="O11:P11"/>
    <mergeCell ref="O12:P12"/>
    <mergeCell ref="O13:P13"/>
    <mergeCell ref="O14:P14"/>
    <mergeCell ref="O15:P15"/>
    <mergeCell ref="O16:P16"/>
    <mergeCell ref="Q16:R16"/>
    <mergeCell ref="Q17:R17"/>
    <mergeCell ref="Q18:R18"/>
    <mergeCell ref="Q19:R19"/>
    <mergeCell ref="Q20:R20"/>
    <mergeCell ref="S16:T16"/>
    <mergeCell ref="P28:Q28"/>
    <mergeCell ref="P29:Q29"/>
    <mergeCell ref="P30:Q30"/>
    <mergeCell ref="P31:Q31"/>
    <mergeCell ref="O26:T26"/>
    <mergeCell ref="O17:P17"/>
    <mergeCell ref="O18:P18"/>
    <mergeCell ref="O19:P19"/>
    <mergeCell ref="O20:P20"/>
    <mergeCell ref="O21:P21"/>
    <mergeCell ref="S17:T17"/>
    <mergeCell ref="S18:T18"/>
    <mergeCell ref="S19:T19"/>
    <mergeCell ref="S20:T20"/>
    <mergeCell ref="Q21:R21"/>
    <mergeCell ref="Q11:R11"/>
    <mergeCell ref="Q12:R12"/>
    <mergeCell ref="Q14:R14"/>
    <mergeCell ref="Q15:R15"/>
    <mergeCell ref="Q13:R13"/>
    <mergeCell ref="S11:T11"/>
    <mergeCell ref="S12:T12"/>
    <mergeCell ref="S13:T13"/>
    <mergeCell ref="S14:T14"/>
    <mergeCell ref="S15:T15"/>
  </mergeCells>
  <phoneticPr fontId="32" type="noConversion"/>
  <conditionalFormatting sqref="C3">
    <cfRule type="expression" dxfId="141" priority="73">
      <formula>$E3&gt;0</formula>
    </cfRule>
  </conditionalFormatting>
  <conditionalFormatting sqref="E8:E10">
    <cfRule type="expression" dxfId="140" priority="17">
      <formula>(SIGN($I8+$O8))=1</formula>
    </cfRule>
  </conditionalFormatting>
  <conditionalFormatting sqref="E12:E21">
    <cfRule type="expression" dxfId="139" priority="16">
      <formula>(SIGN($I12+$O12))=1</formula>
    </cfRule>
  </conditionalFormatting>
  <conditionalFormatting sqref="E11:F11">
    <cfRule type="expression" dxfId="138" priority="25">
      <formula>(SIGN($I11+$O11))=1</formula>
    </cfRule>
  </conditionalFormatting>
  <conditionalFormatting sqref="E28:K32">
    <cfRule type="expression" dxfId="137" priority="3">
      <formula>$I28&gt;0</formula>
    </cfRule>
  </conditionalFormatting>
  <conditionalFormatting sqref="F7:F10">
    <cfRule type="expression" dxfId="136" priority="21">
      <formula>(SIGN($I7+$O7))=1</formula>
    </cfRule>
  </conditionalFormatting>
  <conditionalFormatting sqref="F12:F20">
    <cfRule type="expression" dxfId="135" priority="19">
      <formula>(SIGN($I12+$O12))=1</formula>
    </cfRule>
  </conditionalFormatting>
  <conditionalFormatting sqref="G7:H10">
    <cfRule type="expression" dxfId="134" priority="20">
      <formula>(SIGN($I7))=1</formula>
    </cfRule>
  </conditionalFormatting>
  <conditionalFormatting sqref="G12:H20">
    <cfRule type="expression" dxfId="133" priority="18">
      <formula>(SIGN($I12))=1</formula>
    </cfRule>
  </conditionalFormatting>
  <conditionalFormatting sqref="G11:I11 K11:L11">
    <cfRule type="expression" dxfId="132" priority="24">
      <formula>(SIGN($I11))=1</formula>
    </cfRule>
  </conditionalFormatting>
  <conditionalFormatting sqref="I8:L9">
    <cfRule type="expression" dxfId="131" priority="12">
      <formula>(SIGN($I8))=1</formula>
    </cfRule>
  </conditionalFormatting>
  <conditionalFormatting sqref="J11:J13 I12:I13 K12:K13 I14:K20">
    <cfRule type="expression" dxfId="130" priority="13">
      <formula>(SIGN($I11))=1</formula>
    </cfRule>
  </conditionalFormatting>
  <conditionalFormatting sqref="M8:T21">
    <cfRule type="expression" dxfId="129" priority="14">
      <formula>(SIGN($O8))=1</formula>
    </cfRule>
  </conditionalFormatting>
  <conditionalFormatting sqref="O28">
    <cfRule type="expression" dxfId="128" priority="5">
      <formula>(($I28&gt;0)*($I28&lt;100))</formula>
    </cfRule>
  </conditionalFormatting>
  <conditionalFormatting sqref="O29:O31">
    <cfRule type="expression" dxfId="127" priority="2">
      <formula>(($I29&gt;0)*($I29&lt;100))</formula>
    </cfRule>
  </conditionalFormatting>
  <conditionalFormatting sqref="P28:P32">
    <cfRule type="expression" dxfId="126" priority="6">
      <formula>((($I28&gt;=100)*($I28&lt;250)))=1</formula>
    </cfRule>
  </conditionalFormatting>
  <conditionalFormatting sqref="R28:R31">
    <cfRule type="expression" dxfId="125" priority="7">
      <formula>((($I28&gt;=250)*($I28&lt;500)))=1</formula>
    </cfRule>
  </conditionalFormatting>
  <conditionalFormatting sqref="S28:S32">
    <cfRule type="expression" dxfId="124" priority="8">
      <formula>((($I28&gt;=500)*($I28&lt;1000)))=1</formula>
    </cfRule>
  </conditionalFormatting>
  <conditionalFormatting sqref="T28">
    <cfRule type="expression" dxfId="123" priority="4">
      <formula>($I28)&gt;=1000</formula>
    </cfRule>
  </conditionalFormatting>
  <conditionalFormatting sqref="T29:T32">
    <cfRule type="expression" dxfId="122" priority="1">
      <formula>($I29)&gt;=1000</formula>
    </cfRule>
  </conditionalFormatting>
  <conditionalFormatting sqref="W5 Z5:AA5">
    <cfRule type="cellIs" dxfId="121" priority="74" operator="equal">
      <formula>0</formula>
    </cfRule>
  </conditionalFormatting>
  <conditionalFormatting sqref="W8:W9 W11:W20">
    <cfRule type="expression" dxfId="120" priority="70">
      <formula>(($I8&gt;0)*($I8&lt;100))</formula>
    </cfRule>
  </conditionalFormatting>
  <conditionalFormatting sqref="X8:X9 X11:X20">
    <cfRule type="expression" dxfId="119" priority="65">
      <formula>((($I8&gt;=100)*($I8&lt;250)))=1</formula>
    </cfRule>
  </conditionalFormatting>
  <conditionalFormatting sqref="Y8:Y9 Y11:Y20">
    <cfRule type="expression" dxfId="118" priority="64">
      <formula>((($I8&gt;=250)*($I8&lt;500)))=1</formula>
    </cfRule>
  </conditionalFormatting>
  <conditionalFormatting sqref="Z8:Z9 Z11:Z20">
    <cfRule type="expression" dxfId="117" priority="63">
      <formula>((($I8&gt;=500)*($I8&lt;1000)))=1</formula>
    </cfRule>
  </conditionalFormatting>
  <conditionalFormatting sqref="AA8:AA9 AA11:AA20">
    <cfRule type="expression" dxfId="116" priority="62">
      <formula>($I8&gt;=1000)</formula>
    </cfRule>
  </conditionalFormatting>
  <conditionalFormatting sqref="AA10">
    <cfRule type="cellIs" dxfId="115" priority="39" operator="notEqual">
      <formula>Y10</formula>
    </cfRule>
  </conditionalFormatting>
  <conditionalFormatting sqref="AA21">
    <cfRule type="cellIs" dxfId="114" priority="37" operator="notEqual">
      <formula>Y21</formula>
    </cfRule>
  </conditionalFormatting>
  <conditionalFormatting sqref="AC8:AC21">
    <cfRule type="expression" dxfId="113" priority="46">
      <formula>(($O8&gt;0)*($O8&lt;100))</formula>
    </cfRule>
  </conditionalFormatting>
  <conditionalFormatting sqref="AD8:AD21">
    <cfRule type="expression" dxfId="112" priority="45">
      <formula>((($O8&gt;=100)*($O8&lt;250)))=1</formula>
    </cfRule>
  </conditionalFormatting>
  <conditionalFormatting sqref="AE8:AE21">
    <cfRule type="expression" dxfId="111" priority="44">
      <formula>((($O8&gt;=250)*($O8&lt;500)))=1</formula>
    </cfRule>
  </conditionalFormatting>
  <conditionalFormatting sqref="AF8:AF21">
    <cfRule type="expression" dxfId="110" priority="43">
      <formula>((($O8&gt;=500)*($O8&lt;1000)))=1</formula>
    </cfRule>
  </conditionalFormatting>
  <conditionalFormatting sqref="AG8:AG21">
    <cfRule type="expression" dxfId="109" priority="42">
      <formula>($O8&gt;=1000)</formula>
    </cfRule>
  </conditionalFormatting>
  <dataValidations count="3">
    <dataValidation type="custom" allowBlank="1" showErrorMessage="1" errorTitle="Quantidade não permitida" error="Coloque quantidades múltiplas de 50_x000a_50, 100, 150, 200,  250, 500, 1000, 5000..." sqref="W10 O8:O21 W21 I8:I9 I11:I20 O32:R32 I28:I31" xr:uid="{C8051DBC-F8FF-4D17-A1D3-66096B5D7301}">
      <formula1>(I8/50)=(INT(I8/50))</formula1>
    </dataValidation>
    <dataValidation type="whole" showErrorMessage="1" errorTitle="Item inexistente" error="para essa medida Consulte entre os Reciclados" sqref="I10 I21" xr:uid="{4DFD5594-185D-4862-B028-DF4A6839ED90}">
      <formula1>32432459281</formula1>
      <formula2>32432459286</formula2>
    </dataValidation>
    <dataValidation type="custom" allowBlank="1" showErrorMessage="1" errorTitle="Quantidade não permitida" error="Coloque quantidades múltiplas de 500_x000a_50, 500, 1000, 3500, 5000..." sqref="I32" xr:uid="{206A6FCD-6CDC-4BCA-9736-0B140B7C07EB}">
      <formula1>(I32/500)=(INT(I32/500))</formula1>
    </dataValidation>
  </dataValidations>
  <hyperlinks>
    <hyperlink ref="C3" location="GERAL!A1" display="GERAL" xr:uid="{20048550-0EF7-4EC2-933C-F1F82CE72C2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41BCD-76A9-4612-B3A4-DB461BF42529}">
  <dimension ref="B1:AF24"/>
  <sheetViews>
    <sheetView zoomScaleNormal="100" workbookViewId="0">
      <selection activeCell="N7" sqref="N7"/>
    </sheetView>
  </sheetViews>
  <sheetFormatPr defaultColWidth="9.140625" defaultRowHeight="15.75"/>
  <cols>
    <col min="1" max="1" width="4.5703125" style="266" customWidth="1"/>
    <col min="2" max="2" width="9.42578125" style="265" hidden="1" customWidth="1"/>
    <col min="3" max="3" width="24" style="266" customWidth="1"/>
    <col min="4" max="6" width="5.140625" style="267" customWidth="1"/>
    <col min="7" max="7" width="1.7109375" style="267" customWidth="1"/>
    <col min="8" max="10" width="3.42578125" style="267" hidden="1" customWidth="1"/>
    <col min="11" max="11" width="1" style="266" customWidth="1"/>
    <col min="12" max="12" width="4" style="268" customWidth="1"/>
    <col min="13" max="13" width="2.140625" style="266" customWidth="1"/>
    <col min="14" max="14" width="10.28515625" style="266" customWidth="1"/>
    <col min="15" max="15" width="2.140625" style="266" customWidth="1"/>
    <col min="16" max="17" width="9.7109375" style="266" customWidth="1"/>
    <col min="18" max="18" width="2.5703125" style="266" customWidth="1"/>
    <col min="19" max="19" width="4" style="268" customWidth="1"/>
    <col min="20" max="20" width="2.140625" style="266" customWidth="1"/>
    <col min="21" max="21" width="10.7109375" style="268" customWidth="1"/>
    <col min="22" max="22" width="2.140625" style="266" customWidth="1"/>
    <col min="23" max="25" width="9.7109375" style="266" customWidth="1"/>
    <col min="26" max="26" width="10.140625" style="266" customWidth="1"/>
    <col min="27" max="27" width="12.85546875" style="266" customWidth="1"/>
    <col min="28" max="28" width="2.140625" style="266" customWidth="1"/>
    <col min="29" max="29" width="13" style="269" customWidth="1"/>
    <col min="30" max="30" width="21.85546875" style="266" customWidth="1"/>
    <col min="31" max="16384" width="9.140625" style="266"/>
  </cols>
  <sheetData>
    <row r="1" spans="2:32" ht="8.25" customHeight="1">
      <c r="AD1" s="270"/>
    </row>
    <row r="2" spans="2:32" ht="27.75" customHeight="1">
      <c r="C2" s="496" t="s">
        <v>296</v>
      </c>
      <c r="D2" s="496"/>
      <c r="E2" s="496"/>
      <c r="F2" s="496"/>
      <c r="P2" s="501" t="str">
        <f>CHOOSE(        (1+((SUM(R7:R15))&gt;0)+((SUM(R7:R15))&gt;1)),"Não Selecionado",(SUM(R7:R15))&amp;" Produto",(SUM(R7:R15))&amp;" Produtos")</f>
        <v>Não Selecionado</v>
      </c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271"/>
    </row>
    <row r="3" spans="2:32" ht="17.25" customHeight="1" thickBot="1">
      <c r="AD3" s="272"/>
    </row>
    <row r="4" spans="2:32" s="273" customFormat="1" ht="17.25" customHeight="1" thickBot="1">
      <c r="B4" s="265"/>
      <c r="D4" s="274"/>
      <c r="E4" s="274"/>
      <c r="F4" s="274"/>
      <c r="G4" s="274"/>
      <c r="H4" s="267"/>
      <c r="I4" s="267"/>
      <c r="J4" s="267"/>
      <c r="L4" s="507" t="s">
        <v>331</v>
      </c>
      <c r="M4" s="508"/>
      <c r="N4" s="508"/>
      <c r="O4" s="508"/>
      <c r="P4" s="508"/>
      <c r="Q4" s="509"/>
      <c r="R4" s="322"/>
      <c r="S4" s="510" t="s">
        <v>330</v>
      </c>
      <c r="T4" s="511"/>
      <c r="U4" s="511"/>
      <c r="V4" s="511"/>
      <c r="W4" s="511"/>
      <c r="X4" s="511"/>
      <c r="Y4" s="511"/>
      <c r="Z4" s="511"/>
      <c r="AA4" s="275"/>
      <c r="AC4" s="497" t="s">
        <v>128</v>
      </c>
      <c r="AD4" s="499">
        <f>SUM(AD7:AD9702)</f>
        <v>0</v>
      </c>
    </row>
    <row r="5" spans="2:32" s="287" customFormat="1" ht="16.5" customHeight="1">
      <c r="B5" s="328"/>
      <c r="C5" s="332" t="s">
        <v>27</v>
      </c>
      <c r="D5" s="276" t="s">
        <v>5</v>
      </c>
      <c r="E5" s="276" t="s">
        <v>24</v>
      </c>
      <c r="F5" s="277" t="s">
        <v>2</v>
      </c>
      <c r="G5" s="278"/>
      <c r="H5" s="279"/>
      <c r="I5" s="279"/>
      <c r="J5" s="280"/>
      <c r="K5" s="281"/>
      <c r="L5" s="502">
        <f>SUM(Q7:Q1401)</f>
        <v>0</v>
      </c>
      <c r="M5" s="503"/>
      <c r="N5" s="504"/>
      <c r="O5" s="505"/>
      <c r="P5" s="504"/>
      <c r="Q5" s="506"/>
      <c r="R5" s="323"/>
      <c r="S5" s="282"/>
      <c r="T5" s="283"/>
      <c r="U5" s="283"/>
      <c r="V5" s="283"/>
      <c r="W5" s="284"/>
      <c r="X5" s="284"/>
      <c r="Y5" s="284"/>
      <c r="Z5" s="284"/>
      <c r="AA5" s="285">
        <f>SUM(AA7:AA1401)</f>
        <v>0</v>
      </c>
      <c r="AB5" s="286"/>
      <c r="AC5" s="498"/>
      <c r="AD5" s="500"/>
    </row>
    <row r="6" spans="2:32" s="294" customFormat="1" ht="15.75" customHeight="1">
      <c r="B6" s="329"/>
      <c r="C6" s="333" t="s">
        <v>27</v>
      </c>
      <c r="D6" s="289" t="s">
        <v>5</v>
      </c>
      <c r="E6" s="290" t="s">
        <v>24</v>
      </c>
      <c r="F6" s="291" t="s">
        <v>2</v>
      </c>
      <c r="G6" s="292"/>
      <c r="H6" s="293"/>
      <c r="I6" s="293"/>
      <c r="J6" s="293"/>
      <c r="L6" s="295" t="s">
        <v>329</v>
      </c>
      <c r="M6" s="296"/>
      <c r="N6" s="297" t="s">
        <v>158</v>
      </c>
      <c r="O6" s="296"/>
      <c r="P6" s="288">
        <v>10</v>
      </c>
      <c r="Q6" s="298" t="s">
        <v>128</v>
      </c>
      <c r="R6" s="324"/>
      <c r="S6" s="295" t="s">
        <v>329</v>
      </c>
      <c r="T6" s="296"/>
      <c r="U6" s="297" t="s">
        <v>158</v>
      </c>
      <c r="V6" s="296"/>
      <c r="W6" s="288">
        <v>25</v>
      </c>
      <c r="X6" s="288">
        <v>100</v>
      </c>
      <c r="Y6" s="288">
        <v>250</v>
      </c>
      <c r="Z6" s="288">
        <v>500</v>
      </c>
      <c r="AA6" s="298" t="s">
        <v>128</v>
      </c>
      <c r="AB6" s="299"/>
      <c r="AC6" s="326"/>
      <c r="AD6" s="327"/>
    </row>
    <row r="7" spans="2:32" ht="16.5" customHeight="1">
      <c r="B7" s="330"/>
      <c r="C7" s="335" t="s">
        <v>332</v>
      </c>
      <c r="D7" s="300">
        <v>15</v>
      </c>
      <c r="E7" s="300">
        <v>7</v>
      </c>
      <c r="F7" s="301">
        <v>17</v>
      </c>
      <c r="G7" s="302" t="s">
        <v>25</v>
      </c>
      <c r="H7" s="302"/>
      <c r="I7" s="302"/>
      <c r="J7" s="302"/>
      <c r="K7" s="302" t="s">
        <v>25</v>
      </c>
      <c r="L7" s="303">
        <v>10</v>
      </c>
      <c r="M7" s="304" t="s">
        <v>25</v>
      </c>
      <c r="N7" s="319"/>
      <c r="O7" s="304" t="s">
        <v>25</v>
      </c>
      <c r="P7" s="305">
        <v>0.84</v>
      </c>
      <c r="Q7" s="306">
        <f>P7*N7</f>
        <v>0</v>
      </c>
      <c r="R7" s="325">
        <f>SIGN((SIGN(N7)+SIGN(U7)))</f>
        <v>0</v>
      </c>
      <c r="S7" s="303">
        <v>25</v>
      </c>
      <c r="T7" s="304" t="s">
        <v>25</v>
      </c>
      <c r="U7" s="319"/>
      <c r="V7" s="304"/>
      <c r="W7" s="305">
        <v>0.82</v>
      </c>
      <c r="X7" s="305">
        <v>0.8</v>
      </c>
      <c r="Y7" s="305">
        <v>0.78</v>
      </c>
      <c r="Z7" s="305">
        <v>0.76</v>
      </c>
      <c r="AA7" s="337">
        <f t="shared" ref="AA7:AA15" si="0">(CHOOSE(          ((($U7&gt;=$W6)+($U7&gt;=$X$6)+($U7&gt;=$Y$6)+($U7&gt;=$Z$6))+1),$P7,$W7,$X7,$Y7,$Z7))  *   $U7</f>
        <v>0</v>
      </c>
      <c r="AC7" s="307">
        <f>U7+N7</f>
        <v>0</v>
      </c>
      <c r="AD7" s="308">
        <f>AA7+Q7</f>
        <v>0</v>
      </c>
      <c r="AF7" s="309"/>
    </row>
    <row r="8" spans="2:32" ht="16.5" customHeight="1">
      <c r="B8" s="330"/>
      <c r="C8" s="335" t="s">
        <v>324</v>
      </c>
      <c r="D8" s="300">
        <v>16</v>
      </c>
      <c r="E8" s="300">
        <v>7.5</v>
      </c>
      <c r="F8" s="301">
        <v>22</v>
      </c>
      <c r="G8" s="302" t="s">
        <v>25</v>
      </c>
      <c r="H8" s="302"/>
      <c r="I8" s="302"/>
      <c r="J8" s="302"/>
      <c r="K8" s="302" t="s">
        <v>25</v>
      </c>
      <c r="L8" s="303">
        <v>10</v>
      </c>
      <c r="M8" s="304" t="s">
        <v>25</v>
      </c>
      <c r="N8" s="319"/>
      <c r="O8" s="304" t="s">
        <v>25</v>
      </c>
      <c r="P8" s="305">
        <v>0.99</v>
      </c>
      <c r="Q8" s="306">
        <f t="shared" ref="Q8:Q15" si="1">P8*N8</f>
        <v>0</v>
      </c>
      <c r="R8" s="325">
        <f t="shared" ref="R8:R15" si="2">SIGN((SIGN(N8)+SIGN(U8)))</f>
        <v>0</v>
      </c>
      <c r="S8" s="303">
        <v>25</v>
      </c>
      <c r="T8" s="304" t="s">
        <v>25</v>
      </c>
      <c r="U8" s="319"/>
      <c r="V8" s="321"/>
      <c r="W8" s="305">
        <v>0.97</v>
      </c>
      <c r="X8" s="305">
        <v>0.94</v>
      </c>
      <c r="Y8" s="305">
        <v>0.92</v>
      </c>
      <c r="Z8" s="305">
        <v>0.89</v>
      </c>
      <c r="AA8" s="337">
        <f t="shared" si="0"/>
        <v>0</v>
      </c>
      <c r="AC8" s="307">
        <f>U8+N8</f>
        <v>0</v>
      </c>
      <c r="AD8" s="308">
        <f t="shared" ref="AD8:AD15" si="3">AA8+Q8</f>
        <v>0</v>
      </c>
    </row>
    <row r="9" spans="2:32" ht="16.5">
      <c r="B9" s="330"/>
      <c r="C9" s="335" t="s">
        <v>323</v>
      </c>
      <c r="D9" s="300">
        <v>21</v>
      </c>
      <c r="E9" s="300">
        <v>10</v>
      </c>
      <c r="F9" s="301">
        <v>25</v>
      </c>
      <c r="G9" s="302" t="s">
        <v>25</v>
      </c>
      <c r="H9" s="302"/>
      <c r="I9" s="302"/>
      <c r="J9" s="302"/>
      <c r="K9" s="302" t="s">
        <v>25</v>
      </c>
      <c r="L9" s="303">
        <v>10</v>
      </c>
      <c r="M9" s="304" t="s">
        <v>25</v>
      </c>
      <c r="N9" s="319"/>
      <c r="O9" s="304" t="s">
        <v>25</v>
      </c>
      <c r="P9" s="305">
        <v>1.05</v>
      </c>
      <c r="Q9" s="306">
        <f t="shared" si="1"/>
        <v>0</v>
      </c>
      <c r="R9" s="325">
        <f t="shared" si="2"/>
        <v>0</v>
      </c>
      <c r="S9" s="303">
        <v>25</v>
      </c>
      <c r="T9" s="304" t="s">
        <v>25</v>
      </c>
      <c r="U9" s="319"/>
      <c r="V9" s="304"/>
      <c r="W9" s="305">
        <v>1.02</v>
      </c>
      <c r="X9" s="305">
        <v>1</v>
      </c>
      <c r="Y9" s="305">
        <v>0.97</v>
      </c>
      <c r="Z9" s="305">
        <v>0.94</v>
      </c>
      <c r="AA9" s="337">
        <f t="shared" si="0"/>
        <v>0</v>
      </c>
      <c r="AC9" s="307">
        <f t="shared" ref="AC9:AC15" si="4">U9+N9</f>
        <v>0</v>
      </c>
      <c r="AD9" s="308">
        <f t="shared" si="3"/>
        <v>0</v>
      </c>
    </row>
    <row r="10" spans="2:32" ht="16.5">
      <c r="B10" s="330"/>
      <c r="C10" s="334" t="s">
        <v>325</v>
      </c>
      <c r="D10" s="300">
        <v>25</v>
      </c>
      <c r="E10" s="300">
        <v>12</v>
      </c>
      <c r="F10" s="301">
        <v>26</v>
      </c>
      <c r="G10" s="302" t="s">
        <v>25</v>
      </c>
      <c r="H10" s="302"/>
      <c r="I10" s="302"/>
      <c r="J10" s="302"/>
      <c r="K10" s="302" t="s">
        <v>25</v>
      </c>
      <c r="L10" s="303">
        <v>10</v>
      </c>
      <c r="M10" s="304" t="s">
        <v>25</v>
      </c>
      <c r="N10" s="319"/>
      <c r="O10" s="304" t="s">
        <v>25</v>
      </c>
      <c r="P10" s="305">
        <v>1.1399999999999999</v>
      </c>
      <c r="Q10" s="306">
        <f t="shared" si="1"/>
        <v>0</v>
      </c>
      <c r="R10" s="325">
        <f t="shared" si="2"/>
        <v>0</v>
      </c>
      <c r="S10" s="303">
        <v>25</v>
      </c>
      <c r="T10" s="304" t="s">
        <v>25</v>
      </c>
      <c r="U10" s="319"/>
      <c r="V10" s="304"/>
      <c r="W10" s="305">
        <v>1.1100000000000001</v>
      </c>
      <c r="X10" s="305">
        <v>1.08</v>
      </c>
      <c r="Y10" s="305">
        <v>1.05</v>
      </c>
      <c r="Z10" s="305">
        <v>1.03</v>
      </c>
      <c r="AA10" s="337">
        <f t="shared" si="0"/>
        <v>0</v>
      </c>
      <c r="AC10" s="307">
        <f t="shared" si="4"/>
        <v>0</v>
      </c>
      <c r="AD10" s="308">
        <f t="shared" si="3"/>
        <v>0</v>
      </c>
    </row>
    <row r="11" spans="2:32" ht="16.5">
      <c r="B11" s="330"/>
      <c r="C11" s="335" t="s">
        <v>326</v>
      </c>
      <c r="D11" s="300">
        <v>23</v>
      </c>
      <c r="E11" s="300">
        <v>10</v>
      </c>
      <c r="F11" s="301">
        <v>32</v>
      </c>
      <c r="G11" s="302" t="s">
        <v>25</v>
      </c>
      <c r="H11" s="302"/>
      <c r="I11" s="302"/>
      <c r="J11" s="302"/>
      <c r="K11" s="302" t="s">
        <v>25</v>
      </c>
      <c r="L11" s="303">
        <v>10</v>
      </c>
      <c r="M11" s="304" t="s">
        <v>25</v>
      </c>
      <c r="N11" s="319"/>
      <c r="O11" s="304" t="s">
        <v>25</v>
      </c>
      <c r="P11" s="305">
        <v>1.24</v>
      </c>
      <c r="Q11" s="306">
        <f t="shared" ref="Q11" si="5">P11*N11</f>
        <v>0</v>
      </c>
      <c r="R11" s="325">
        <f t="shared" ref="R11" si="6">SIGN((SIGN(N11)+SIGN(U11)))</f>
        <v>0</v>
      </c>
      <c r="S11" s="303">
        <v>25</v>
      </c>
      <c r="T11" s="304" t="s">
        <v>25</v>
      </c>
      <c r="U11" s="319"/>
      <c r="V11" s="304"/>
      <c r="W11" s="305">
        <v>1.21</v>
      </c>
      <c r="X11" s="305">
        <v>1.18</v>
      </c>
      <c r="Y11" s="305">
        <v>1.1499999999999999</v>
      </c>
      <c r="Z11" s="305">
        <v>1.1200000000000001</v>
      </c>
      <c r="AA11" s="337">
        <f t="shared" si="0"/>
        <v>0</v>
      </c>
      <c r="AC11" s="307">
        <f t="shared" ref="AC11" si="7">U11+N11</f>
        <v>0</v>
      </c>
      <c r="AD11" s="308">
        <f t="shared" ref="AD11" si="8">AA11+Q11</f>
        <v>0</v>
      </c>
    </row>
    <row r="12" spans="2:32" ht="16.5">
      <c r="B12" s="330"/>
      <c r="C12" s="334" t="s">
        <v>328</v>
      </c>
      <c r="D12" s="300">
        <v>32</v>
      </c>
      <c r="E12" s="300">
        <v>13</v>
      </c>
      <c r="F12" s="301">
        <v>40</v>
      </c>
      <c r="G12" s="302" t="s">
        <v>25</v>
      </c>
      <c r="H12" s="302"/>
      <c r="I12" s="302"/>
      <c r="J12" s="302"/>
      <c r="K12" s="302" t="s">
        <v>25</v>
      </c>
      <c r="L12" s="303">
        <v>10</v>
      </c>
      <c r="M12" s="304" t="s">
        <v>25</v>
      </c>
      <c r="N12" s="319"/>
      <c r="O12" s="304" t="s">
        <v>25</v>
      </c>
      <c r="P12" s="305">
        <v>1.81</v>
      </c>
      <c r="Q12" s="306">
        <f t="shared" si="1"/>
        <v>0</v>
      </c>
      <c r="R12" s="325">
        <f t="shared" si="2"/>
        <v>0</v>
      </c>
      <c r="S12" s="303">
        <v>25</v>
      </c>
      <c r="T12" s="304" t="s">
        <v>25</v>
      </c>
      <c r="U12" s="319"/>
      <c r="V12" s="304"/>
      <c r="W12" s="305">
        <v>1.76</v>
      </c>
      <c r="X12" s="305">
        <v>1.72</v>
      </c>
      <c r="Y12" s="305">
        <v>1.67</v>
      </c>
      <c r="Z12" s="305">
        <v>1.63</v>
      </c>
      <c r="AA12" s="337">
        <f t="shared" si="0"/>
        <v>0</v>
      </c>
      <c r="AC12" s="307">
        <f t="shared" si="4"/>
        <v>0</v>
      </c>
      <c r="AD12" s="308">
        <f t="shared" si="3"/>
        <v>0</v>
      </c>
    </row>
    <row r="13" spans="2:32" ht="16.5">
      <c r="B13" s="330"/>
      <c r="C13" s="334" t="s">
        <v>327</v>
      </c>
      <c r="D13" s="300">
        <v>30</v>
      </c>
      <c r="E13" s="300">
        <v>17</v>
      </c>
      <c r="F13" s="301">
        <v>34</v>
      </c>
      <c r="G13" s="302" t="s">
        <v>25</v>
      </c>
      <c r="H13" s="302"/>
      <c r="I13" s="302"/>
      <c r="J13" s="302"/>
      <c r="K13" s="302" t="s">
        <v>25</v>
      </c>
      <c r="L13" s="303">
        <v>10</v>
      </c>
      <c r="M13" s="304" t="s">
        <v>25</v>
      </c>
      <c r="N13" s="319"/>
      <c r="O13" s="304" t="s">
        <v>25</v>
      </c>
      <c r="P13" s="305">
        <v>1.62</v>
      </c>
      <c r="Q13" s="306">
        <f t="shared" si="1"/>
        <v>0</v>
      </c>
      <c r="R13" s="325">
        <f t="shared" si="2"/>
        <v>0</v>
      </c>
      <c r="S13" s="303">
        <v>25</v>
      </c>
      <c r="T13" s="304" t="s">
        <v>25</v>
      </c>
      <c r="U13" s="319"/>
      <c r="V13" s="304"/>
      <c r="W13" s="305">
        <v>1.58</v>
      </c>
      <c r="X13" s="305">
        <v>1.54</v>
      </c>
      <c r="Y13" s="305">
        <v>1.5</v>
      </c>
      <c r="Z13" s="305">
        <v>1.46</v>
      </c>
      <c r="AA13" s="337">
        <f t="shared" si="0"/>
        <v>0</v>
      </c>
      <c r="AC13" s="307">
        <f t="shared" si="4"/>
        <v>0</v>
      </c>
      <c r="AD13" s="308">
        <f t="shared" si="3"/>
        <v>0</v>
      </c>
    </row>
    <row r="14" spans="2:32" ht="16.5">
      <c r="B14" s="330"/>
      <c r="C14" s="335" t="s">
        <v>333</v>
      </c>
      <c r="D14" s="300">
        <v>32</v>
      </c>
      <c r="E14" s="300">
        <v>19</v>
      </c>
      <c r="F14" s="301">
        <v>39</v>
      </c>
      <c r="G14" s="302" t="s">
        <v>25</v>
      </c>
      <c r="H14" s="302"/>
      <c r="I14" s="302"/>
      <c r="J14" s="302"/>
      <c r="K14" s="302" t="s">
        <v>25</v>
      </c>
      <c r="L14" s="303">
        <v>10</v>
      </c>
      <c r="M14" s="304" t="s">
        <v>25</v>
      </c>
      <c r="N14" s="319"/>
      <c r="O14" s="304" t="s">
        <v>25</v>
      </c>
      <c r="P14" s="305">
        <v>1.89</v>
      </c>
      <c r="Q14" s="306">
        <f t="shared" si="1"/>
        <v>0</v>
      </c>
      <c r="R14" s="325">
        <f t="shared" si="2"/>
        <v>0</v>
      </c>
      <c r="S14" s="303">
        <v>25</v>
      </c>
      <c r="T14" s="304" t="s">
        <v>25</v>
      </c>
      <c r="U14" s="319"/>
      <c r="V14" s="304"/>
      <c r="W14" s="305">
        <v>1.84</v>
      </c>
      <c r="X14" s="305">
        <v>1.8</v>
      </c>
      <c r="Y14" s="305">
        <v>1.75</v>
      </c>
      <c r="Z14" s="305">
        <v>1.7</v>
      </c>
      <c r="AA14" s="337">
        <f t="shared" si="0"/>
        <v>0</v>
      </c>
      <c r="AC14" s="307">
        <f t="shared" si="4"/>
        <v>0</v>
      </c>
      <c r="AD14" s="308">
        <f t="shared" si="3"/>
        <v>0</v>
      </c>
    </row>
    <row r="15" spans="2:32" ht="17.25" thickBot="1">
      <c r="B15" s="331"/>
      <c r="C15" s="336" t="s">
        <v>334</v>
      </c>
      <c r="D15" s="310">
        <v>32</v>
      </c>
      <c r="E15" s="310">
        <v>16</v>
      </c>
      <c r="F15" s="311">
        <v>39</v>
      </c>
      <c r="G15" s="302" t="s">
        <v>25</v>
      </c>
      <c r="H15" s="302"/>
      <c r="I15" s="302"/>
      <c r="J15" s="302"/>
      <c r="K15" s="302" t="s">
        <v>25</v>
      </c>
      <c r="L15" s="312">
        <v>10</v>
      </c>
      <c r="M15" s="313" t="s">
        <v>25</v>
      </c>
      <c r="N15" s="320"/>
      <c r="O15" s="313" t="s">
        <v>25</v>
      </c>
      <c r="P15" s="314">
        <v>1.45</v>
      </c>
      <c r="Q15" s="315">
        <f t="shared" si="1"/>
        <v>0</v>
      </c>
      <c r="R15" s="325">
        <f t="shared" si="2"/>
        <v>0</v>
      </c>
      <c r="S15" s="312">
        <v>25</v>
      </c>
      <c r="T15" s="313" t="s">
        <v>25</v>
      </c>
      <c r="U15" s="320"/>
      <c r="V15" s="313"/>
      <c r="W15" s="314">
        <v>1.41</v>
      </c>
      <c r="X15" s="314">
        <v>1.38</v>
      </c>
      <c r="Y15" s="314">
        <v>1.34</v>
      </c>
      <c r="Z15" s="314">
        <v>1.3</v>
      </c>
      <c r="AA15" s="338">
        <f t="shared" si="0"/>
        <v>0</v>
      </c>
      <c r="AC15" s="316">
        <f t="shared" si="4"/>
        <v>0</v>
      </c>
      <c r="AD15" s="317">
        <f t="shared" si="3"/>
        <v>0</v>
      </c>
    </row>
    <row r="20" spans="14:30">
      <c r="N20" s="268"/>
    </row>
    <row r="24" spans="14:30">
      <c r="AD24" s="318"/>
    </row>
  </sheetData>
  <sheetProtection sheet="1" selectLockedCells="1"/>
  <mergeCells count="7">
    <mergeCell ref="C2:F2"/>
    <mergeCell ref="AC4:AC5"/>
    <mergeCell ref="AD4:AD5"/>
    <mergeCell ref="P2:Z2"/>
    <mergeCell ref="L5:Q5"/>
    <mergeCell ref="L4:Q4"/>
    <mergeCell ref="S4:Z4"/>
  </mergeCells>
  <conditionalFormatting sqref="B6 B16:B1048576">
    <cfRule type="cellIs" dxfId="108" priority="16" operator="equal">
      <formula>"Visualizando"</formula>
    </cfRule>
  </conditionalFormatting>
  <conditionalFormatting sqref="C2">
    <cfRule type="expression" dxfId="107" priority="12">
      <formula>$E2&gt;0</formula>
    </cfRule>
  </conditionalFormatting>
  <conditionalFormatting sqref="C7:C15">
    <cfRule type="expression" dxfId="106" priority="2">
      <formula>($N7+$U7)&gt;0</formula>
    </cfRule>
  </conditionalFormatting>
  <conditionalFormatting sqref="P7:P15">
    <cfRule type="expression" dxfId="105" priority="11">
      <formula>$N7&gt;0</formula>
    </cfRule>
  </conditionalFormatting>
  <conditionalFormatting sqref="P2:R2 R4">
    <cfRule type="expression" dxfId="104" priority="17">
      <formula>$B$4=1</formula>
    </cfRule>
  </conditionalFormatting>
  <conditionalFormatting sqref="W7:W15">
    <cfRule type="expression" dxfId="103" priority="10">
      <formula>($U7&gt;=$W$6)*($U7&lt;$X$6)=1</formula>
    </cfRule>
  </conditionalFormatting>
  <conditionalFormatting sqref="X7:X15">
    <cfRule type="expression" dxfId="102" priority="9">
      <formula>($U7&gt;=$X$6)*($U7&lt;$Y$6)=1</formula>
    </cfRule>
  </conditionalFormatting>
  <conditionalFormatting sqref="Y7:Y15">
    <cfRule type="expression" dxfId="101" priority="8">
      <formula>($U7&gt;=$Y$6)*($U7&lt;$Z$6)=1</formula>
    </cfRule>
  </conditionalFormatting>
  <conditionalFormatting sqref="Z7:Z15">
    <cfRule type="expression" dxfId="100" priority="6">
      <formula>($U7&gt;=$Z$6)</formula>
    </cfRule>
  </conditionalFormatting>
  <conditionalFormatting sqref="AD7:AD15">
    <cfRule type="cellIs" dxfId="99" priority="18" operator="greaterThan">
      <formula>0</formula>
    </cfRule>
  </conditionalFormatting>
  <dataValidations count="2">
    <dataValidation type="custom" errorStyle="warning" allowBlank="1" showInputMessage="1" showErrorMessage="1" errorTitle="Erro na quantidade" error="Pacotes com 25 = digite: 25,50,75..._x000a_Pacotes com 50 = digite: 50,100,150..._x000a__x000a_Você pode manter com erro, mas o pedido pode não ser valido." sqref="U7:U15" xr:uid="{06C9CBD1-7418-4E77-9758-EB45B2E9C4D6}">
      <formula1>((INT(U7/S7))*S7)=U7</formula1>
    </dataValidation>
    <dataValidation type="custom" errorStyle="warning" allowBlank="1" showInputMessage="1" showErrorMessage="1" errorTitle="Erro na quantidade" error="Pacotes com 10 = digite: 10,20,30..._x000a__x000a_Você pode manter com erro, mas o pedido pode não ser valido." sqref="N7:N15" xr:uid="{5776ABA9-FD11-46B8-BBBA-C2932908FF37}">
      <formula1>((INT(N7/L7))*L7)=N7</formula1>
    </dataValidation>
  </dataValidations>
  <hyperlinks>
    <hyperlink ref="C2" location="GERAL!A1" display="GERAL" xr:uid="{8F60F631-CFF4-48BD-8F23-C7FE4832A860}"/>
  </hyperlink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B7AC6-6709-4308-BAAD-7808CF559B2B}">
  <sheetPr codeName="Planilha6" filterMode="1"/>
  <dimension ref="A1:Y29"/>
  <sheetViews>
    <sheetView zoomScaleNormal="100" workbookViewId="0">
      <pane ySplit="10" topLeftCell="A11" activePane="bottomLeft" state="frozen"/>
      <selection activeCell="B28" sqref="B28"/>
      <selection pane="bottomLeft" activeCell="H11" sqref="H11"/>
    </sheetView>
  </sheetViews>
  <sheetFormatPr defaultColWidth="9.140625" defaultRowHeight="15"/>
  <cols>
    <col min="1" max="1" width="2.7109375" style="1" customWidth="1"/>
    <col min="2" max="2" width="37" style="1" customWidth="1"/>
    <col min="3" max="3" width="2" style="1" customWidth="1"/>
    <col min="4" max="4" width="10.5703125" style="37" customWidth="1"/>
    <col min="5" max="5" width="10.5703125" style="39" customWidth="1"/>
    <col min="6" max="6" width="4.5703125" style="12" customWidth="1"/>
    <col min="7" max="7" width="2" style="6" customWidth="1"/>
    <col min="8" max="8" width="10.28515625" style="5" customWidth="1"/>
    <col min="9" max="9" width="14.7109375" style="6" customWidth="1"/>
    <col min="10" max="10" width="1.7109375" style="6" customWidth="1"/>
    <col min="11" max="13" width="9.28515625" style="1" customWidth="1"/>
    <col min="14" max="14" width="2" style="1" customWidth="1"/>
    <col min="15" max="15" width="6.85546875" style="1" customWidth="1"/>
    <col min="16" max="16" width="3.28515625" style="1" customWidth="1"/>
    <col min="17" max="17" width="8" style="1" customWidth="1"/>
    <col min="18" max="18" width="7.28515625" style="1" customWidth="1"/>
    <col min="19" max="19" width="3.42578125" style="22" hidden="1" customWidth="1"/>
    <col min="20" max="20" width="8.28515625" style="22" hidden="1" customWidth="1"/>
    <col min="21" max="21" width="9.140625" style="22" hidden="1" customWidth="1"/>
    <col min="22" max="22" width="14.42578125" style="1" hidden="1" customWidth="1"/>
    <col min="23" max="23" width="14.42578125" style="1" customWidth="1"/>
    <col min="24" max="24" width="13.28515625" style="1" customWidth="1"/>
    <col min="25" max="16384" width="9.140625" style="1"/>
  </cols>
  <sheetData>
    <row r="1" spans="1:25" s="75" customFormat="1" ht="27.75" customHeight="1">
      <c r="A1" s="74"/>
      <c r="B1" s="207" t="s">
        <v>296</v>
      </c>
      <c r="C1" s="74"/>
      <c r="D1" s="515"/>
      <c r="E1" s="515"/>
      <c r="F1" s="515"/>
      <c r="G1" s="74"/>
      <c r="H1" s="74"/>
      <c r="I1" s="74"/>
      <c r="J1" s="74"/>
      <c r="K1" s="74"/>
      <c r="L1" s="74"/>
      <c r="N1" s="74"/>
      <c r="O1" s="74"/>
      <c r="P1" s="74"/>
      <c r="Q1" s="74"/>
      <c r="R1" s="74"/>
      <c r="S1" s="60"/>
      <c r="T1" s="60"/>
      <c r="U1" s="60"/>
      <c r="V1" s="6"/>
    </row>
    <row r="2" spans="1:25" s="75" customFormat="1" ht="11.25" customHeight="1" thickBot="1">
      <c r="B2" s="75">
        <v>1</v>
      </c>
      <c r="D2" s="76"/>
      <c r="E2" s="77">
        <v>1</v>
      </c>
      <c r="F2" s="78"/>
      <c r="I2" s="75">
        <v>1</v>
      </c>
      <c r="M2" s="75">
        <v>1</v>
      </c>
      <c r="R2" s="75">
        <v>1</v>
      </c>
      <c r="S2" s="22"/>
      <c r="T2" s="22">
        <f>(B2+E2+I2+M2+R2)</f>
        <v>5</v>
      </c>
      <c r="U2" s="22"/>
      <c r="V2" s="22"/>
    </row>
    <row r="3" spans="1:25" ht="19.5" customHeight="1">
      <c r="B3" s="79" t="s">
        <v>136</v>
      </c>
      <c r="C3" s="80"/>
      <c r="D3" s="81" t="s">
        <v>137</v>
      </c>
      <c r="E3" s="82"/>
      <c r="F3" s="83"/>
      <c r="H3" s="84" t="s">
        <v>138</v>
      </c>
      <c r="I3" s="85"/>
      <c r="K3" s="86" t="s">
        <v>139</v>
      </c>
      <c r="L3" s="87"/>
      <c r="M3" s="88"/>
      <c r="N3" s="89"/>
      <c r="O3" s="519" t="s">
        <v>34</v>
      </c>
      <c r="P3" s="520"/>
      <c r="Q3" s="520"/>
      <c r="R3" s="521"/>
    </row>
    <row r="4" spans="1:25" ht="15.75" customHeight="1">
      <c r="B4" s="90"/>
      <c r="C4" s="80"/>
      <c r="D4" s="91"/>
      <c r="E4" s="92"/>
      <c r="F4" s="93"/>
      <c r="H4" s="94"/>
      <c r="I4" s="95"/>
      <c r="K4" s="96"/>
      <c r="L4" s="97"/>
      <c r="M4" s="98"/>
      <c r="N4" s="89"/>
      <c r="O4" s="516" t="s">
        <v>123</v>
      </c>
      <c r="P4" s="517"/>
      <c r="Q4" s="517"/>
      <c r="R4" s="518"/>
    </row>
    <row r="5" spans="1:25" ht="15.75" customHeight="1">
      <c r="B5" s="90"/>
      <c r="C5" s="80"/>
      <c r="D5" s="91"/>
      <c r="E5" s="92"/>
      <c r="F5" s="93"/>
      <c r="H5" s="94"/>
      <c r="I5" s="95"/>
      <c r="K5" s="96"/>
      <c r="L5" s="97"/>
      <c r="M5" s="98"/>
      <c r="N5" s="89"/>
      <c r="O5" s="516" t="s">
        <v>124</v>
      </c>
      <c r="P5" s="517"/>
      <c r="Q5" s="517"/>
      <c r="R5" s="518"/>
    </row>
    <row r="6" spans="1:25" ht="16.5" customHeight="1" thickBot="1">
      <c r="B6" s="189" t="s">
        <v>236</v>
      </c>
      <c r="C6" s="80"/>
      <c r="D6" s="190"/>
      <c r="E6" s="191"/>
      <c r="F6" s="192" t="s">
        <v>235</v>
      </c>
      <c r="H6" s="193"/>
      <c r="I6" s="194" t="s">
        <v>237</v>
      </c>
      <c r="K6" s="195"/>
      <c r="L6" s="196"/>
      <c r="M6" s="197" t="s">
        <v>238</v>
      </c>
      <c r="N6" s="89"/>
      <c r="O6" s="522"/>
      <c r="P6" s="523"/>
      <c r="Q6" s="523"/>
      <c r="R6" s="524"/>
    </row>
    <row r="7" spans="1:25" ht="16.5" hidden="1" customHeight="1" thickBot="1">
      <c r="B7" s="18" t="str">
        <f>CHOOSE((B2+1),"NÃO SELECIONADO","SELECIONADO")</f>
        <v>SELECIONADO</v>
      </c>
      <c r="C7" s="80"/>
      <c r="D7" s="512" t="str">
        <f>CHOOSE((E2+1),"NÃO SELECIONADO","SELECIONADO")</f>
        <v>SELECIONADO</v>
      </c>
      <c r="E7" s="513"/>
      <c r="F7" s="514"/>
      <c r="H7" s="512" t="str">
        <f>CHOOSE((I2+1),"NÃO SELECIONADO","SELECIONADO")</f>
        <v>SELECIONADO</v>
      </c>
      <c r="I7" s="514"/>
      <c r="K7" s="512" t="str">
        <f>CHOOSE((M2+1),"NÃO SELECIONADO","SELECIONADO")</f>
        <v>SELECIONADO</v>
      </c>
      <c r="L7" s="513"/>
      <c r="M7" s="514"/>
      <c r="N7" s="89"/>
      <c r="O7" s="512" t="str">
        <f>CHOOSE((R2+1),"NÃO SELECIONADO","SELECIONADO")</f>
        <v>SELECIONADO</v>
      </c>
      <c r="P7" s="513"/>
      <c r="Q7" s="513"/>
      <c r="R7" s="514"/>
    </row>
    <row r="8" spans="1:25" ht="16.5" customHeight="1">
      <c r="D8" s="1">
        <f>(COUNT(H11:H2700))</f>
        <v>0</v>
      </c>
      <c r="I8" s="5"/>
      <c r="J8" s="2"/>
      <c r="K8" s="534" t="str">
        <f xml:space="preserve"> CHOOSE(    (1+((COUNT(H11:H2700))&gt;0)+((COUNT(H11:H2700))&gt;1)),"Não Selecionado",(COUNT(H11:H2700))&amp;" Produto",(COUNT(H11:H2700))&amp;" Produtos")</f>
        <v>Não Selecionado</v>
      </c>
      <c r="L8" s="534"/>
      <c r="M8" s="534"/>
      <c r="N8" s="534"/>
      <c r="O8" s="534"/>
      <c r="P8" s="5"/>
      <c r="Q8" s="5"/>
      <c r="R8" s="5"/>
    </row>
    <row r="9" spans="1:25" ht="17.25" customHeight="1">
      <c r="B9" s="20" t="s">
        <v>127</v>
      </c>
      <c r="D9" s="526" t="s">
        <v>32</v>
      </c>
      <c r="E9" s="527"/>
      <c r="F9" s="527"/>
      <c r="H9" s="203" t="s">
        <v>130</v>
      </c>
      <c r="I9" s="204"/>
      <c r="K9" s="99" t="s">
        <v>31</v>
      </c>
      <c r="L9" s="33"/>
      <c r="M9" s="33"/>
      <c r="N9" s="33"/>
      <c r="O9" s="33"/>
      <c r="Q9" s="528">
        <f>SUM(Q11:Q409818)</f>
        <v>0</v>
      </c>
      <c r="R9" s="528"/>
      <c r="S9" s="23"/>
      <c r="U9" s="56" t="s">
        <v>156</v>
      </c>
    </row>
    <row r="10" spans="1:25" ht="16.5">
      <c r="B10" s="529" t="s">
        <v>27</v>
      </c>
      <c r="C10" s="530"/>
      <c r="D10" s="100" t="s">
        <v>131</v>
      </c>
      <c r="E10" s="101"/>
      <c r="F10" s="102" t="s">
        <v>30</v>
      </c>
      <c r="G10" s="7"/>
      <c r="H10" s="4" t="s">
        <v>26</v>
      </c>
      <c r="I10" s="4" t="s">
        <v>129</v>
      </c>
      <c r="J10" s="8"/>
      <c r="K10" s="19">
        <v>1</v>
      </c>
      <c r="L10" s="19">
        <v>5</v>
      </c>
      <c r="M10" s="19">
        <v>80</v>
      </c>
      <c r="N10" s="531">
        <v>100</v>
      </c>
      <c r="O10" s="532"/>
      <c r="Q10" s="533"/>
      <c r="R10" s="533"/>
    </row>
    <row r="11" spans="1:25" ht="16.5">
      <c r="B11" s="535" t="s">
        <v>140</v>
      </c>
      <c r="C11" s="536"/>
      <c r="D11" s="38">
        <v>24</v>
      </c>
      <c r="E11" s="40">
        <v>50</v>
      </c>
      <c r="F11" s="42" t="s">
        <v>136</v>
      </c>
      <c r="G11" s="7"/>
      <c r="H11" s="70"/>
      <c r="I11" s="3">
        <f>( (ROUNDUP(   (H11/1),0))*1)</f>
        <v>0</v>
      </c>
      <c r="J11" s="7"/>
      <c r="K11" s="25">
        <v>3</v>
      </c>
      <c r="L11" s="25">
        <v>2.5</v>
      </c>
      <c r="M11" s="43"/>
      <c r="N11" s="538">
        <v>2.25</v>
      </c>
      <c r="O11" s="538"/>
      <c r="Q11" s="525">
        <f>(CHOOSE(((          ($I11&gt;=(0))       +        ($I11&gt;=(5))       +       ($I11&gt;=(100))           )),K11,L11,N11))*I11</f>
        <v>0</v>
      </c>
      <c r="R11" s="525"/>
      <c r="U11" s="22">
        <f>(($F11="TR")*$B$2) + (($F11="MR")*$E$2) + (($F11="AV")*$I$2) + (($F11="CF")*$M$2)+ (($F11="O")*$R$2)</f>
        <v>1</v>
      </c>
      <c r="V11" s="41"/>
      <c r="W11" s="41"/>
      <c r="X11" s="41"/>
      <c r="Y11" s="41"/>
    </row>
    <row r="12" spans="1:25" ht="16.5">
      <c r="B12" s="535" t="s">
        <v>140</v>
      </c>
      <c r="C12" s="536"/>
      <c r="D12" s="38">
        <v>48</v>
      </c>
      <c r="E12" s="40">
        <v>45</v>
      </c>
      <c r="F12" s="42" t="s">
        <v>136</v>
      </c>
      <c r="G12" s="7"/>
      <c r="H12" s="70"/>
      <c r="I12" s="3">
        <f t="shared" ref="I12:I27" si="0">( (ROUNDUP(   (H12/1),0))*1)</f>
        <v>0</v>
      </c>
      <c r="J12" s="7"/>
      <c r="K12" s="25">
        <v>4.5</v>
      </c>
      <c r="L12" s="25">
        <v>4.2</v>
      </c>
      <c r="M12" s="43"/>
      <c r="N12" s="538">
        <v>4</v>
      </c>
      <c r="O12" s="538"/>
      <c r="Q12" s="525">
        <f>(CHOOSE(((          ($I12&gt;=(0))       +        ($I12&gt;=(5))       +       ($I12&gt;=(100))           )),K12,L12,N12))*I12</f>
        <v>0</v>
      </c>
      <c r="R12" s="525"/>
      <c r="U12" s="22">
        <f t="shared" ref="U12:U27" si="1">(($F12="TR")*$B$2) + (($F12="MR")*$E$2) + (($F12="AV")*$I$2) + (($F12="CF")*$M$2)+ (($F12="O")*$R$2)</f>
        <v>1</v>
      </c>
      <c r="V12" s="41"/>
      <c r="W12" s="41"/>
      <c r="X12" s="41"/>
      <c r="Y12" s="41"/>
    </row>
    <row r="13" spans="1:25" ht="16.5">
      <c r="B13" s="535" t="s">
        <v>141</v>
      </c>
      <c r="C13" s="536"/>
      <c r="D13" s="38">
        <v>48</v>
      </c>
      <c r="E13" s="40">
        <v>45</v>
      </c>
      <c r="F13" s="103" t="s">
        <v>137</v>
      </c>
      <c r="G13" s="7"/>
      <c r="H13" s="70"/>
      <c r="I13" s="3">
        <f t="shared" si="0"/>
        <v>0</v>
      </c>
      <c r="J13" s="7"/>
      <c r="K13" s="25">
        <v>4.5</v>
      </c>
      <c r="L13" s="25">
        <v>4.2</v>
      </c>
      <c r="M13" s="43"/>
      <c r="N13" s="538">
        <v>4</v>
      </c>
      <c r="O13" s="538"/>
      <c r="Q13" s="525">
        <f>(CHOOSE(((          ($I13&gt;=(0))       +        ($I13&gt;=(5))       +       ($I13&gt;=(100))           )),K13,L13,N13))*I13</f>
        <v>0</v>
      </c>
      <c r="R13" s="525"/>
      <c r="U13" s="22">
        <f t="shared" si="1"/>
        <v>1</v>
      </c>
      <c r="V13" s="41"/>
      <c r="W13" s="41"/>
      <c r="X13" s="41"/>
      <c r="Y13" s="41"/>
    </row>
    <row r="14" spans="1:25" ht="16.5">
      <c r="B14" s="535" t="s">
        <v>140</v>
      </c>
      <c r="C14" s="536"/>
      <c r="D14" s="38">
        <v>48</v>
      </c>
      <c r="E14" s="40">
        <v>100</v>
      </c>
      <c r="F14" s="42" t="s">
        <v>136</v>
      </c>
      <c r="G14" s="7"/>
      <c r="H14" s="70"/>
      <c r="I14" s="3">
        <f t="shared" si="0"/>
        <v>0</v>
      </c>
      <c r="J14" s="7"/>
      <c r="K14" s="25">
        <v>8.75</v>
      </c>
      <c r="L14" s="25">
        <v>7.8</v>
      </c>
      <c r="M14" s="25">
        <v>7.65</v>
      </c>
      <c r="N14" s="537"/>
      <c r="O14" s="537"/>
      <c r="Q14" s="525">
        <f>(CHOOSE(((          ($I14&gt;=(0))       +        ($I14&gt;=(5))       +       ($I14&gt;=(80))           )),K14,L14,M14))*I14</f>
        <v>0</v>
      </c>
      <c r="R14" s="525"/>
      <c r="U14" s="22">
        <f t="shared" si="1"/>
        <v>1</v>
      </c>
      <c r="V14" s="41"/>
      <c r="W14" s="41"/>
      <c r="X14" s="41"/>
      <c r="Y14" s="41"/>
    </row>
    <row r="15" spans="1:25" ht="16.5">
      <c r="B15" s="535" t="s">
        <v>141</v>
      </c>
      <c r="C15" s="536"/>
      <c r="D15" s="38">
        <v>48</v>
      </c>
      <c r="E15" s="40">
        <v>100</v>
      </c>
      <c r="F15" s="103" t="s">
        <v>137</v>
      </c>
      <c r="G15" s="7"/>
      <c r="H15" s="70"/>
      <c r="I15" s="3">
        <f t="shared" si="0"/>
        <v>0</v>
      </c>
      <c r="J15" s="7"/>
      <c r="K15" s="25">
        <v>8.75</v>
      </c>
      <c r="L15" s="25">
        <v>7.8</v>
      </c>
      <c r="M15" s="25">
        <v>7.65</v>
      </c>
      <c r="N15" s="537"/>
      <c r="O15" s="537"/>
      <c r="Q15" s="525">
        <f>(CHOOSE(((          ($I15&gt;=(0))       +        ($I15&gt;=(5))       +       ($I15&gt;=(80))           )),K15,L15,M15))*I15</f>
        <v>0</v>
      </c>
      <c r="R15" s="525"/>
      <c r="U15" s="22">
        <f t="shared" si="1"/>
        <v>1</v>
      </c>
      <c r="V15" s="41"/>
      <c r="W15" s="41"/>
      <c r="X15" s="41"/>
      <c r="Y15" s="41"/>
    </row>
    <row r="16" spans="1:25" ht="16.5">
      <c r="B16" s="535" t="s">
        <v>142</v>
      </c>
      <c r="C16" s="536"/>
      <c r="D16" s="45">
        <v>48</v>
      </c>
      <c r="E16" s="46">
        <v>50</v>
      </c>
      <c r="F16" s="44" t="s">
        <v>138</v>
      </c>
      <c r="G16" s="7"/>
      <c r="H16" s="70"/>
      <c r="I16" s="3">
        <f t="shared" si="0"/>
        <v>0</v>
      </c>
      <c r="J16" s="7"/>
      <c r="K16" s="25">
        <v>7.8</v>
      </c>
      <c r="L16" s="25">
        <v>7.4</v>
      </c>
      <c r="M16" s="43"/>
      <c r="N16" s="538">
        <v>7</v>
      </c>
      <c r="O16" s="538"/>
      <c r="Q16" s="525">
        <f t="shared" ref="Q16:Q19" si="2">(CHOOSE(((          ($I16&gt;=(0))       +        ($I16&gt;=(5))       +       ($I16&gt;=(100))           )),K16,L16,N16))*I16</f>
        <v>0</v>
      </c>
      <c r="R16" s="525"/>
      <c r="U16" s="22">
        <f t="shared" si="1"/>
        <v>1</v>
      </c>
      <c r="V16" s="41"/>
      <c r="W16" s="41"/>
      <c r="X16" s="41"/>
      <c r="Y16" s="41"/>
    </row>
    <row r="17" spans="2:25" ht="16.5">
      <c r="B17" s="535" t="s">
        <v>143</v>
      </c>
      <c r="C17" s="536"/>
      <c r="D17" s="52">
        <v>48</v>
      </c>
      <c r="E17" s="53">
        <v>50</v>
      </c>
      <c r="F17" s="54" t="s">
        <v>138</v>
      </c>
      <c r="G17" s="7"/>
      <c r="H17" s="70"/>
      <c r="I17" s="3">
        <f t="shared" si="0"/>
        <v>0</v>
      </c>
      <c r="J17" s="7"/>
      <c r="K17" s="25">
        <v>7.8</v>
      </c>
      <c r="L17" s="25">
        <v>7.4</v>
      </c>
      <c r="M17" s="43"/>
      <c r="N17" s="538">
        <v>7</v>
      </c>
      <c r="O17" s="538"/>
      <c r="Q17" s="525">
        <f t="shared" si="2"/>
        <v>0</v>
      </c>
      <c r="R17" s="525"/>
      <c r="U17" s="22">
        <f t="shared" si="1"/>
        <v>1</v>
      </c>
      <c r="V17" s="41"/>
      <c r="W17" s="41"/>
      <c r="X17" s="41"/>
      <c r="Y17" s="41"/>
    </row>
    <row r="18" spans="2:25" ht="16.5">
      <c r="B18" s="535" t="s">
        <v>144</v>
      </c>
      <c r="C18" s="536"/>
      <c r="D18" s="45">
        <v>48</v>
      </c>
      <c r="E18" s="46">
        <v>50</v>
      </c>
      <c r="F18" s="44" t="s">
        <v>139</v>
      </c>
      <c r="G18" s="7"/>
      <c r="H18" s="70"/>
      <c r="I18" s="3">
        <f t="shared" si="0"/>
        <v>0</v>
      </c>
      <c r="J18" s="7"/>
      <c r="K18" s="25">
        <v>7.8</v>
      </c>
      <c r="L18" s="25">
        <v>7.4</v>
      </c>
      <c r="M18" s="43"/>
      <c r="N18" s="538">
        <v>7</v>
      </c>
      <c r="O18" s="538"/>
      <c r="Q18" s="525">
        <f t="shared" si="2"/>
        <v>0</v>
      </c>
      <c r="R18" s="525"/>
      <c r="U18" s="22">
        <f t="shared" si="1"/>
        <v>1</v>
      </c>
      <c r="V18" s="41"/>
      <c r="W18" s="41"/>
      <c r="X18" s="41"/>
      <c r="Y18" s="41"/>
    </row>
    <row r="19" spans="2:25" ht="16.5">
      <c r="B19" s="535" t="s">
        <v>145</v>
      </c>
      <c r="C19" s="536"/>
      <c r="D19" s="52">
        <v>48</v>
      </c>
      <c r="E19" s="53">
        <v>50</v>
      </c>
      <c r="F19" s="42" t="s">
        <v>139</v>
      </c>
      <c r="G19" s="7"/>
      <c r="H19" s="70"/>
      <c r="I19" s="3">
        <f t="shared" si="0"/>
        <v>0</v>
      </c>
      <c r="J19" s="7"/>
      <c r="K19" s="25">
        <v>7.8</v>
      </c>
      <c r="L19" s="25">
        <v>7.4</v>
      </c>
      <c r="M19" s="43"/>
      <c r="N19" s="538">
        <v>7</v>
      </c>
      <c r="O19" s="538"/>
      <c r="Q19" s="525">
        <f t="shared" si="2"/>
        <v>0</v>
      </c>
      <c r="R19" s="525"/>
      <c r="U19" s="22">
        <f t="shared" si="1"/>
        <v>1</v>
      </c>
      <c r="V19" s="41"/>
      <c r="W19" s="41"/>
      <c r="X19" s="41"/>
      <c r="Y19" s="41"/>
    </row>
    <row r="20" spans="2:25" ht="16.5">
      <c r="B20" s="535" t="s">
        <v>146</v>
      </c>
      <c r="C20" s="536"/>
      <c r="D20" s="50">
        <v>24</v>
      </c>
      <c r="E20" s="51">
        <v>50</v>
      </c>
      <c r="F20" s="55" t="s">
        <v>34</v>
      </c>
      <c r="G20" s="7"/>
      <c r="H20" s="70"/>
      <c r="I20" s="3">
        <f t="shared" si="0"/>
        <v>0</v>
      </c>
      <c r="J20" s="7"/>
      <c r="K20" s="25">
        <v>3.5</v>
      </c>
      <c r="L20" s="25">
        <v>3</v>
      </c>
      <c r="M20" s="43"/>
      <c r="N20" s="538">
        <v>2.75</v>
      </c>
      <c r="O20" s="538"/>
      <c r="Q20" s="525">
        <f>(CHOOSE(((          ($I20&gt;=(0))       +        ($I20&gt;=(5))       +       ($I20&gt;=(100))           )),K20,L20,N20))*I20</f>
        <v>0</v>
      </c>
      <c r="R20" s="525"/>
      <c r="U20" s="22">
        <f t="shared" si="1"/>
        <v>1</v>
      </c>
      <c r="V20" s="41"/>
      <c r="W20" s="41"/>
      <c r="X20" s="41"/>
      <c r="Y20" s="41"/>
    </row>
    <row r="21" spans="2:25" ht="16.5">
      <c r="B21" s="535" t="s">
        <v>147</v>
      </c>
      <c r="C21" s="536"/>
      <c r="D21" s="50">
        <v>24</v>
      </c>
      <c r="E21" s="51">
        <v>50</v>
      </c>
      <c r="F21" s="55" t="s">
        <v>34</v>
      </c>
      <c r="G21" s="7"/>
      <c r="H21" s="70"/>
      <c r="I21" s="3">
        <f t="shared" si="0"/>
        <v>0</v>
      </c>
      <c r="J21" s="7"/>
      <c r="K21" s="25">
        <v>3.5</v>
      </c>
      <c r="L21" s="25">
        <v>3</v>
      </c>
      <c r="M21" s="43"/>
      <c r="N21" s="538">
        <v>2.75</v>
      </c>
      <c r="O21" s="538"/>
      <c r="Q21" s="525">
        <f>(CHOOSE(((          ($I21&gt;=(0))       +        ($I21&gt;=(5))       +       ($I21&gt;=(100))           )),K21,L21,N21))*I21</f>
        <v>0</v>
      </c>
      <c r="R21" s="525"/>
      <c r="U21" s="22">
        <f t="shared" si="1"/>
        <v>1</v>
      </c>
      <c r="V21" s="41"/>
      <c r="W21" s="41"/>
      <c r="X21" s="41"/>
      <c r="Y21" s="41"/>
    </row>
    <row r="22" spans="2:25" ht="16.5">
      <c r="B22" s="535" t="s">
        <v>148</v>
      </c>
      <c r="C22" s="536"/>
      <c r="D22" s="38">
        <v>17</v>
      </c>
      <c r="E22" s="40">
        <v>80</v>
      </c>
      <c r="F22" s="47" t="s">
        <v>34</v>
      </c>
      <c r="G22" s="7"/>
      <c r="H22" s="70"/>
      <c r="I22" s="3">
        <f t="shared" si="0"/>
        <v>0</v>
      </c>
      <c r="J22" s="7"/>
      <c r="K22" s="25">
        <v>3.5</v>
      </c>
      <c r="L22" s="25">
        <v>3</v>
      </c>
      <c r="M22" s="43"/>
      <c r="N22" s="538">
        <v>2.75</v>
      </c>
      <c r="O22" s="538"/>
      <c r="Q22" s="525">
        <f>(CHOOSE(((          ($I22&gt;=(0))       +        ($I22&gt;=(5))       +       ($I22&gt;=(100))           )),K22,L22,N22))*I22</f>
        <v>0</v>
      </c>
      <c r="R22" s="525"/>
      <c r="U22" s="22">
        <f t="shared" si="1"/>
        <v>1</v>
      </c>
      <c r="V22" s="41"/>
      <c r="W22" s="41"/>
      <c r="X22" s="41"/>
      <c r="Y22" s="41"/>
    </row>
    <row r="23" spans="2:25" ht="16.5" hidden="1">
      <c r="B23" s="535" t="s">
        <v>149</v>
      </c>
      <c r="C23" s="536"/>
      <c r="D23" s="38" t="s">
        <v>28</v>
      </c>
      <c r="E23" s="40" t="s">
        <v>28</v>
      </c>
      <c r="F23" s="13" t="s">
        <v>34</v>
      </c>
      <c r="G23" s="7"/>
      <c r="H23" s="70"/>
      <c r="I23" s="3">
        <f t="shared" si="0"/>
        <v>0</v>
      </c>
      <c r="J23" s="7"/>
      <c r="K23" s="25">
        <v>12</v>
      </c>
      <c r="L23" s="48" t="s">
        <v>151</v>
      </c>
      <c r="M23" s="49"/>
      <c r="N23" s="539">
        <v>30</v>
      </c>
      <c r="O23" s="540"/>
      <c r="Q23" s="525">
        <f>((INT(H23/3))*N23)+((H23-((INT(H23/3))*3))*K23)</f>
        <v>0</v>
      </c>
      <c r="R23" s="525"/>
      <c r="U23" s="22">
        <f t="shared" si="1"/>
        <v>1</v>
      </c>
      <c r="V23" s="41"/>
      <c r="W23" s="43"/>
      <c r="X23" s="41"/>
      <c r="Y23" s="41"/>
    </row>
    <row r="24" spans="2:25" ht="16.5" hidden="1">
      <c r="B24" s="535" t="s">
        <v>150</v>
      </c>
      <c r="C24" s="536"/>
      <c r="D24" s="38" t="s">
        <v>152</v>
      </c>
      <c r="E24" s="40" t="s">
        <v>152</v>
      </c>
      <c r="F24" s="13" t="s">
        <v>34</v>
      </c>
      <c r="G24" s="7"/>
      <c r="H24" s="70"/>
      <c r="I24" s="3">
        <f t="shared" si="0"/>
        <v>0</v>
      </c>
      <c r="J24" s="7"/>
      <c r="K24" s="25">
        <v>40</v>
      </c>
      <c r="L24" s="43"/>
      <c r="M24" s="43"/>
      <c r="N24" s="537"/>
      <c r="O24" s="537"/>
      <c r="Q24" s="525">
        <f>K24*I24</f>
        <v>0</v>
      </c>
      <c r="R24" s="525"/>
      <c r="U24" s="22">
        <f t="shared" si="1"/>
        <v>1</v>
      </c>
      <c r="V24" s="41"/>
      <c r="W24" s="41"/>
      <c r="X24" s="41"/>
      <c r="Y24" s="41"/>
    </row>
    <row r="25" spans="2:25" ht="16.5">
      <c r="B25" s="535" t="s">
        <v>153</v>
      </c>
      <c r="C25" s="536"/>
      <c r="D25" s="38" t="s">
        <v>154</v>
      </c>
      <c r="E25" s="40">
        <v>200</v>
      </c>
      <c r="F25" s="13" t="s">
        <v>34</v>
      </c>
      <c r="G25" s="7"/>
      <c r="H25" s="70"/>
      <c r="I25" s="3">
        <f t="shared" si="0"/>
        <v>0</v>
      </c>
      <c r="J25" s="7"/>
      <c r="K25" s="25">
        <v>45</v>
      </c>
      <c r="L25" s="43"/>
      <c r="M25" s="43"/>
      <c r="N25" s="537"/>
      <c r="O25" s="537"/>
      <c r="Q25" s="525">
        <f>K25*I25</f>
        <v>0</v>
      </c>
      <c r="R25" s="525"/>
      <c r="U25" s="22">
        <f t="shared" si="1"/>
        <v>1</v>
      </c>
      <c r="V25" s="41"/>
      <c r="W25" s="41"/>
      <c r="X25" s="41"/>
      <c r="Y25" s="41"/>
    </row>
    <row r="26" spans="2:25" ht="16.5" hidden="1">
      <c r="B26" s="535" t="s">
        <v>153</v>
      </c>
      <c r="C26" s="536"/>
      <c r="D26" s="38" t="s">
        <v>154</v>
      </c>
      <c r="E26" s="40">
        <v>100</v>
      </c>
      <c r="F26" s="13" t="s">
        <v>34</v>
      </c>
      <c r="G26" s="7"/>
      <c r="H26" s="70"/>
      <c r="I26" s="3">
        <f t="shared" si="0"/>
        <v>0</v>
      </c>
      <c r="J26" s="7"/>
      <c r="K26" s="25">
        <v>30</v>
      </c>
      <c r="L26" s="43"/>
      <c r="M26" s="43"/>
      <c r="N26" s="537"/>
      <c r="O26" s="537"/>
      <c r="Q26" s="525">
        <f>K26*I26</f>
        <v>0</v>
      </c>
      <c r="R26" s="525"/>
      <c r="U26" s="22">
        <f t="shared" si="1"/>
        <v>1</v>
      </c>
      <c r="V26" s="41"/>
      <c r="W26" s="41"/>
      <c r="X26" s="41"/>
      <c r="Y26" s="41"/>
    </row>
    <row r="27" spans="2:25" ht="16.5">
      <c r="B27" s="535" t="s">
        <v>155</v>
      </c>
      <c r="C27" s="536"/>
      <c r="D27" s="38">
        <v>12</v>
      </c>
      <c r="E27" s="40">
        <v>36</v>
      </c>
      <c r="F27" s="13" t="s">
        <v>34</v>
      </c>
      <c r="G27" s="7"/>
      <c r="H27" s="70"/>
      <c r="I27" s="3">
        <f t="shared" si="0"/>
        <v>0</v>
      </c>
      <c r="J27" s="7"/>
      <c r="K27" s="25">
        <v>140</v>
      </c>
      <c r="L27" s="43"/>
      <c r="M27" s="43"/>
      <c r="N27" s="537"/>
      <c r="O27" s="537"/>
      <c r="Q27" s="525">
        <f>K27*I27</f>
        <v>0</v>
      </c>
      <c r="R27" s="525"/>
      <c r="U27" s="22">
        <f t="shared" si="1"/>
        <v>1</v>
      </c>
      <c r="V27" s="41"/>
      <c r="W27" s="41"/>
      <c r="X27" s="41"/>
      <c r="Y27" s="41"/>
    </row>
    <row r="28" spans="2:25" s="6" customFormat="1" hidden="1">
      <c r="D28" s="57"/>
      <c r="E28" s="58"/>
      <c r="F28" s="59"/>
    </row>
    <row r="29" spans="2:25" hidden="1">
      <c r="K29" s="25">
        <v>2.5</v>
      </c>
      <c r="L29" s="25">
        <v>2.5</v>
      </c>
      <c r="M29" s="25">
        <v>7.65</v>
      </c>
      <c r="N29" s="538">
        <v>4.5</v>
      </c>
      <c r="O29" s="538"/>
    </row>
  </sheetData>
  <sheetProtection sheet="1" selectLockedCells="1"/>
  <autoFilter ref="B10:U29" xr:uid="{36CB7AC6-6709-4308-BAAD-7808CF559B2B}">
    <filterColumn colId="0" showButton="0"/>
    <filterColumn colId="12" showButton="0"/>
    <filterColumn colId="15" showButton="0"/>
    <filterColumn colId="19">
      <filters>
        <filter val="1"/>
      </filters>
    </filterColumn>
  </autoFilter>
  <mergeCells count="67">
    <mergeCell ref="N29:O29"/>
    <mergeCell ref="Q24:R24"/>
    <mergeCell ref="B24:C24"/>
    <mergeCell ref="N24:O24"/>
    <mergeCell ref="B25:C25"/>
    <mergeCell ref="N25:O25"/>
    <mergeCell ref="Q25:R25"/>
    <mergeCell ref="B26:C26"/>
    <mergeCell ref="N26:O26"/>
    <mergeCell ref="Q26:R26"/>
    <mergeCell ref="B27:C27"/>
    <mergeCell ref="N27:O27"/>
    <mergeCell ref="Q27:R27"/>
    <mergeCell ref="B20:C20"/>
    <mergeCell ref="N20:O20"/>
    <mergeCell ref="Q20:R20"/>
    <mergeCell ref="B21:C21"/>
    <mergeCell ref="N21:O21"/>
    <mergeCell ref="Q21:R21"/>
    <mergeCell ref="B22:C22"/>
    <mergeCell ref="N22:O22"/>
    <mergeCell ref="Q22:R22"/>
    <mergeCell ref="B23:C23"/>
    <mergeCell ref="N23:O23"/>
    <mergeCell ref="Q23:R23"/>
    <mergeCell ref="B16:C16"/>
    <mergeCell ref="N16:O16"/>
    <mergeCell ref="Q16:R16"/>
    <mergeCell ref="B17:C17"/>
    <mergeCell ref="N17:O17"/>
    <mergeCell ref="Q17:R17"/>
    <mergeCell ref="B18:C18"/>
    <mergeCell ref="N18:O18"/>
    <mergeCell ref="Q18:R18"/>
    <mergeCell ref="B19:C19"/>
    <mergeCell ref="N19:O19"/>
    <mergeCell ref="Q19:R19"/>
    <mergeCell ref="K8:O8"/>
    <mergeCell ref="O4:R4"/>
    <mergeCell ref="B15:C15"/>
    <mergeCell ref="N15:O15"/>
    <mergeCell ref="Q15:R15"/>
    <mergeCell ref="B12:C12"/>
    <mergeCell ref="N12:O12"/>
    <mergeCell ref="Q12:R12"/>
    <mergeCell ref="B13:C13"/>
    <mergeCell ref="N13:O13"/>
    <mergeCell ref="Q13:R13"/>
    <mergeCell ref="B14:C14"/>
    <mergeCell ref="N14:O14"/>
    <mergeCell ref="Q14:R14"/>
    <mergeCell ref="B11:C11"/>
    <mergeCell ref="N11:O11"/>
    <mergeCell ref="Q11:R11"/>
    <mergeCell ref="D9:F9"/>
    <mergeCell ref="Q9:R9"/>
    <mergeCell ref="B10:C10"/>
    <mergeCell ref="N10:O10"/>
    <mergeCell ref="Q10:R10"/>
    <mergeCell ref="O7:R7"/>
    <mergeCell ref="K7:M7"/>
    <mergeCell ref="H7:I7"/>
    <mergeCell ref="D7:F7"/>
    <mergeCell ref="D1:F1"/>
    <mergeCell ref="O5:R5"/>
    <mergeCell ref="O3:R3"/>
    <mergeCell ref="O6:R6"/>
  </mergeCells>
  <conditionalFormatting sqref="B1">
    <cfRule type="expression" dxfId="98" priority="1">
      <formula>$D1&gt;0</formula>
    </cfRule>
  </conditionalFormatting>
  <conditionalFormatting sqref="B7">
    <cfRule type="cellIs" dxfId="97" priority="160" operator="equal">
      <formula>"SELECIONADO"</formula>
    </cfRule>
  </conditionalFormatting>
  <conditionalFormatting sqref="D7:F7 H7:I7 K7 O7">
    <cfRule type="cellIs" dxfId="96" priority="162" operator="equal">
      <formula>"SELECIONADO"</formula>
    </cfRule>
  </conditionalFormatting>
  <conditionalFormatting sqref="D11:F27">
    <cfRule type="expression" dxfId="95" priority="84">
      <formula>$H11&gt;0</formula>
    </cfRule>
  </conditionalFormatting>
  <conditionalFormatting sqref="G10:G27">
    <cfRule type="expression" dxfId="94" priority="163">
      <formula>#REF!=1</formula>
    </cfRule>
  </conditionalFormatting>
  <conditionalFormatting sqref="H11:H27">
    <cfRule type="cellIs" dxfId="93" priority="169" operator="equal">
      <formula>0</formula>
    </cfRule>
    <cfRule type="cellIs" dxfId="92" priority="171" operator="equal">
      <formula>I11</formula>
    </cfRule>
  </conditionalFormatting>
  <conditionalFormatting sqref="I11:I27">
    <cfRule type="cellIs" dxfId="91" priority="170" operator="notEqual">
      <formula>H11</formula>
    </cfRule>
  </conditionalFormatting>
  <conditionalFormatting sqref="J11:J27">
    <cfRule type="expression" dxfId="90" priority="175">
      <formula>#REF!=1</formula>
    </cfRule>
  </conditionalFormatting>
  <conditionalFormatting sqref="K8">
    <cfRule type="cellIs" dxfId="89" priority="155" operator="equal">
      <formula>0</formula>
    </cfRule>
  </conditionalFormatting>
  <conditionalFormatting sqref="K11:K22">
    <cfRule type="expression" dxfId="88" priority="10">
      <formula>((($I11&gt;0)*($I11&lt;5)))=1</formula>
    </cfRule>
  </conditionalFormatting>
  <conditionalFormatting sqref="K23:K27">
    <cfRule type="expression" dxfId="87" priority="5">
      <formula>($I23&gt;0)</formula>
    </cfRule>
  </conditionalFormatting>
  <conditionalFormatting sqref="K29">
    <cfRule type="expression" dxfId="86" priority="9">
      <formula>($I29&gt;0)</formula>
    </cfRule>
  </conditionalFormatting>
  <conditionalFormatting sqref="L11:L13">
    <cfRule type="expression" dxfId="85" priority="45">
      <formula>((($I11&gt;=5)*($I11&lt;100)))=1</formula>
    </cfRule>
  </conditionalFormatting>
  <conditionalFormatting sqref="L14:L15">
    <cfRule type="expression" dxfId="84" priority="2">
      <formula>((($I14&gt;=5)*($I14&lt;80)))=1</formula>
    </cfRule>
  </conditionalFormatting>
  <conditionalFormatting sqref="L16:L22">
    <cfRule type="expression" dxfId="83" priority="24">
      <formula>((($I16&gt;=5)*($I16&lt;100)))=1</formula>
    </cfRule>
  </conditionalFormatting>
  <conditionalFormatting sqref="L29">
    <cfRule type="expression" dxfId="82" priority="3">
      <formula>((($I29&gt;=5)*($I29&lt;80)))=1</formula>
    </cfRule>
  </conditionalFormatting>
  <conditionalFormatting sqref="L23:O23">
    <cfRule type="expression" dxfId="81" priority="52">
      <formula>$I23&gt;0</formula>
    </cfRule>
  </conditionalFormatting>
  <conditionalFormatting sqref="M14:M15">
    <cfRule type="expression" dxfId="80" priority="15">
      <formula>$I14&gt;=80</formula>
    </cfRule>
  </conditionalFormatting>
  <conditionalFormatting sqref="M29">
    <cfRule type="expression" dxfId="79" priority="16">
      <formula>$I29&gt;=80</formula>
    </cfRule>
  </conditionalFormatting>
  <conditionalFormatting sqref="N11:N13">
    <cfRule type="expression" dxfId="78" priority="44">
      <formula>$I11&gt;=100</formula>
    </cfRule>
  </conditionalFormatting>
  <conditionalFormatting sqref="N16:N22">
    <cfRule type="expression" dxfId="77" priority="23">
      <formula>$I16&gt;=100</formula>
    </cfRule>
  </conditionalFormatting>
  <conditionalFormatting sqref="N29">
    <cfRule type="expression" dxfId="76" priority="50">
      <formula>$I29&gt;=100</formula>
    </cfRule>
  </conditionalFormatting>
  <conditionalFormatting sqref="Q11:Q27">
    <cfRule type="cellIs" dxfId="75" priority="172" operator="greaterThan">
      <formula>0</formula>
    </cfRule>
  </conditionalFormatting>
  <hyperlinks>
    <hyperlink ref="B1" location="GERAL!A1" display="GERAL" xr:uid="{17DAEC27-C985-40B6-BB0A-89274C9F796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7B7EC-B8CC-4501-9EEA-10B856603097}">
  <sheetPr codeName="Planilha31"/>
  <dimension ref="A1:V11"/>
  <sheetViews>
    <sheetView zoomScaleNormal="100" workbookViewId="0">
      <selection activeCell="G5" sqref="G5"/>
    </sheetView>
  </sheetViews>
  <sheetFormatPr defaultColWidth="0" defaultRowHeight="15" zeroHeight="1"/>
  <cols>
    <col min="1" max="1" width="2.7109375" style="1" customWidth="1"/>
    <col min="2" max="2" width="26" style="1" customWidth="1"/>
    <col min="3" max="3" width="2" style="1" customWidth="1"/>
    <col min="4" max="4" width="10.5703125" style="30" customWidth="1"/>
    <col min="5" max="5" width="10.5703125" style="27" customWidth="1"/>
    <col min="6" max="6" width="2" style="6" customWidth="1"/>
    <col min="7" max="7" width="10.28515625" style="5" customWidth="1"/>
    <col min="8" max="8" width="14.7109375" style="6" customWidth="1"/>
    <col min="9" max="9" width="1.7109375" style="6" customWidth="1"/>
    <col min="10" max="12" width="9.28515625" style="1" customWidth="1"/>
    <col min="13" max="13" width="2" style="1" hidden="1" customWidth="1"/>
    <col min="14" max="14" width="6.85546875" style="1" hidden="1" customWidth="1"/>
    <col min="15" max="15" width="9.5703125" style="1" hidden="1" customWidth="1"/>
    <col min="16" max="16" width="3.28515625" style="1" customWidth="1"/>
    <col min="17" max="17" width="8" style="1" customWidth="1"/>
    <col min="18" max="18" width="7.28515625" style="1" customWidth="1"/>
    <col min="19" max="19" width="3.42578125" style="22" customWidth="1"/>
    <col min="20" max="20" width="12.42578125" style="22" hidden="1" customWidth="1"/>
    <col min="21" max="21" width="9.140625" style="22" hidden="1" customWidth="1"/>
    <col min="22" max="22" width="0" style="22" hidden="1" customWidth="1"/>
    <col min="23" max="16384" width="9.140625" style="1" hidden="1"/>
  </cols>
  <sheetData>
    <row r="1" spans="2:22" s="15" customFormat="1" ht="36" customHeight="1">
      <c r="B1" s="207" t="s">
        <v>296</v>
      </c>
      <c r="D1" s="29"/>
      <c r="E1" s="26"/>
      <c r="F1" s="16"/>
      <c r="G1" s="17"/>
      <c r="H1" s="16"/>
      <c r="I1" s="16"/>
      <c r="S1" s="21"/>
      <c r="T1" s="21"/>
      <c r="U1" s="21"/>
      <c r="V1" s="21"/>
    </row>
    <row r="2" spans="2:22" ht="27" customHeight="1">
      <c r="H2" s="5"/>
      <c r="I2" s="2"/>
      <c r="J2" s="541" t="str">
        <f xml:space="preserve"> CHOOSE(    (1+((COUNT(G:G))&gt;0)+((COUNT(G:G))&gt;1)),"Não Selecionado",(COUNT(G:G))&amp;" Produto",(COUNT(G:G))&amp;" Produtos")</f>
        <v>Não Selecionado</v>
      </c>
      <c r="K2" s="541"/>
      <c r="L2" s="541"/>
      <c r="M2" s="35">
        <v>1</v>
      </c>
      <c r="N2" s="35"/>
      <c r="O2" s="35"/>
      <c r="P2" s="5"/>
      <c r="Q2" s="5"/>
      <c r="R2" s="5"/>
    </row>
    <row r="3" spans="2:22" ht="17.25" customHeight="1">
      <c r="B3" s="20"/>
      <c r="D3" s="542" t="s">
        <v>135</v>
      </c>
      <c r="E3" s="543"/>
      <c r="G3" s="203" t="s">
        <v>130</v>
      </c>
      <c r="H3" s="204"/>
      <c r="J3" s="546" t="s">
        <v>31</v>
      </c>
      <c r="K3" s="547"/>
      <c r="L3" s="548"/>
      <c r="M3" s="33"/>
      <c r="N3" s="33"/>
      <c r="O3" s="34"/>
      <c r="Q3" s="528">
        <f>SUM(Q5:Q409819)</f>
        <v>0</v>
      </c>
      <c r="R3" s="528"/>
      <c r="S3" s="23"/>
    </row>
    <row r="4" spans="2:22" ht="16.5">
      <c r="B4" s="529" t="s">
        <v>27</v>
      </c>
      <c r="C4" s="530"/>
      <c r="D4" s="31" t="s">
        <v>131</v>
      </c>
      <c r="E4" s="28" t="s">
        <v>5</v>
      </c>
      <c r="F4" s="180"/>
      <c r="G4" s="4" t="s">
        <v>26</v>
      </c>
      <c r="H4" s="4" t="s">
        <v>129</v>
      </c>
      <c r="I4" s="8"/>
      <c r="J4" s="36">
        <v>1</v>
      </c>
      <c r="K4" s="36">
        <v>3</v>
      </c>
      <c r="L4" s="36">
        <v>10</v>
      </c>
      <c r="M4" s="544">
        <v>101</v>
      </c>
      <c r="N4" s="545"/>
      <c r="O4" s="19">
        <v>102</v>
      </c>
      <c r="Q4" s="533"/>
      <c r="R4" s="533"/>
    </row>
    <row r="5" spans="2:22" ht="16.5">
      <c r="B5" s="535" t="s">
        <v>132</v>
      </c>
      <c r="C5" s="536"/>
      <c r="D5" s="32">
        <v>120</v>
      </c>
      <c r="E5" s="63">
        <v>100</v>
      </c>
      <c r="F5" s="7"/>
      <c r="G5" s="70"/>
      <c r="H5" s="3">
        <f>( (ROUNDUP(   (G5/1),0))*1)</f>
        <v>0</v>
      </c>
      <c r="I5" s="7"/>
      <c r="J5" s="9">
        <v>75</v>
      </c>
      <c r="K5" s="10">
        <v>73</v>
      </c>
      <c r="L5" s="10">
        <v>71</v>
      </c>
      <c r="M5" s="549">
        <f>L5</f>
        <v>71</v>
      </c>
      <c r="N5" s="550"/>
      <c r="O5" s="11">
        <f>M5</f>
        <v>71</v>
      </c>
      <c r="Q5" s="525">
        <f>(CHOOSE(((($H5&gt;=(0))+($H5&gt;=($K$4))+($H5&gt;=($L$4))+($H5&gt;=($M$4))+($H5&gt;=($O$4)))),J5,K5,L5,M5,O5))*H5</f>
        <v>0</v>
      </c>
      <c r="R5" s="525"/>
      <c r="S5" s="24"/>
      <c r="T5" s="22" t="e">
        <f>((#REF!="E")*#REF!) + ((#REF!="B")*#REF!) + ((#REF!="EB")*#REF!) + ((#REF!="D")*#REF!)+ ((#REF!="O")*#REF!)</f>
        <v>#REF!</v>
      </c>
    </row>
    <row r="6" spans="2:22" ht="16.5">
      <c r="B6" s="535" t="s">
        <v>132</v>
      </c>
      <c r="C6" s="536"/>
      <c r="D6" s="32">
        <v>120</v>
      </c>
      <c r="E6" s="63">
        <v>50</v>
      </c>
      <c r="F6" s="7"/>
      <c r="G6" s="70"/>
      <c r="H6" s="3">
        <f t="shared" ref="H6:H7" si="0">( (ROUNDUP(   (G6/1),0))*1)</f>
        <v>0</v>
      </c>
      <c r="I6" s="7"/>
      <c r="J6" s="9">
        <v>50</v>
      </c>
      <c r="K6" s="10">
        <v>49</v>
      </c>
      <c r="L6" s="10">
        <v>48</v>
      </c>
      <c r="M6" s="549">
        <f t="shared" ref="M6:M7" si="1">L6</f>
        <v>48</v>
      </c>
      <c r="N6" s="550"/>
      <c r="O6" s="11">
        <f t="shared" ref="O6:O7" si="2">M6</f>
        <v>48</v>
      </c>
      <c r="Q6" s="525">
        <f t="shared" ref="Q6:Q7" si="3">(CHOOSE(((($H6&gt;=(0))+($H6&gt;=($K$4))+($H6&gt;=($L$4))+($H6&gt;=($M$4))+($H6&gt;=($O$4)))),J6,K6,L6,M6,O6))*H6</f>
        <v>0</v>
      </c>
      <c r="R6" s="525"/>
      <c r="S6" s="24"/>
      <c r="T6" s="22" t="e">
        <f>((#REF!="E")*#REF!) + ((#REF!="B")*#REF!) + ((#REF!="EB")*#REF!) + ((#REF!="D")*#REF!)+ ((#REF!="O")*#REF!)</f>
        <v>#REF!</v>
      </c>
    </row>
    <row r="7" spans="2:22" ht="16.5">
      <c r="B7" s="535" t="s">
        <v>374</v>
      </c>
      <c r="C7" s="536"/>
      <c r="D7" s="32">
        <v>43</v>
      </c>
      <c r="E7" s="63">
        <v>20</v>
      </c>
      <c r="F7" s="7"/>
      <c r="G7" s="70"/>
      <c r="H7" s="3">
        <f t="shared" si="0"/>
        <v>0</v>
      </c>
      <c r="I7" s="7"/>
      <c r="J7" s="9">
        <v>16</v>
      </c>
      <c r="K7" s="10">
        <v>15</v>
      </c>
      <c r="L7" s="10">
        <v>14</v>
      </c>
      <c r="M7" s="549">
        <f t="shared" si="1"/>
        <v>14</v>
      </c>
      <c r="N7" s="550"/>
      <c r="O7" s="11">
        <f t="shared" si="2"/>
        <v>14</v>
      </c>
      <c r="Q7" s="525">
        <f t="shared" si="3"/>
        <v>0</v>
      </c>
      <c r="R7" s="525"/>
      <c r="S7" s="24"/>
      <c r="T7" s="22" t="e">
        <f>((#REF!="E")*#REF!) + ((#REF!="B")*#REF!) + ((#REF!="EB")*#REF!) + ((#REF!="D")*#REF!)+ ((#REF!="O")*#REF!)</f>
        <v>#REF!</v>
      </c>
    </row>
    <row r="8" spans="2:22" ht="16.5">
      <c r="B8" s="535" t="s">
        <v>263</v>
      </c>
      <c r="C8" s="536"/>
      <c r="D8" s="32">
        <v>30</v>
      </c>
      <c r="E8" s="63">
        <v>100</v>
      </c>
      <c r="F8" s="14"/>
      <c r="G8" s="70"/>
      <c r="H8" s="3">
        <f t="shared" ref="H8" si="4">( (ROUNDUP(   (G8/1),0))*1)</f>
        <v>0</v>
      </c>
      <c r="I8" s="7"/>
      <c r="J8" s="9">
        <v>30</v>
      </c>
      <c r="K8" s="10">
        <v>29</v>
      </c>
      <c r="L8" s="10">
        <v>28</v>
      </c>
      <c r="M8" s="549">
        <f t="shared" ref="M8" si="5">L8</f>
        <v>28</v>
      </c>
      <c r="N8" s="550"/>
      <c r="O8" s="11">
        <f t="shared" ref="O8" si="6">M8</f>
        <v>28</v>
      </c>
      <c r="Q8" s="525">
        <f t="shared" ref="Q8" si="7">(CHOOSE(((($H8&gt;=(0))+($H8&gt;=($K$4))+($H8&gt;=($L$4))+($H8&gt;=($M$4))+($H8&gt;=($O$4)))),J8,K8,L8,M8,O8))*H8</f>
        <v>0</v>
      </c>
      <c r="R8" s="525"/>
      <c r="S8" s="24"/>
      <c r="T8" s="22" t="e">
        <f>((#REF!="E")*#REF!) + ((#REF!="B")*#REF!) + ((#REF!="EB")*#REF!) + ((#REF!="D")*#REF!)+ ((#REF!="O")*#REF!)</f>
        <v>#REF!</v>
      </c>
    </row>
    <row r="9" spans="2:22" ht="16.5">
      <c r="B9" s="535" t="s">
        <v>134</v>
      </c>
      <c r="C9" s="536"/>
      <c r="D9" s="32">
        <v>40</v>
      </c>
      <c r="E9" s="63">
        <v>100</v>
      </c>
      <c r="F9" s="14"/>
      <c r="G9" s="70"/>
      <c r="H9" s="3">
        <f t="shared" ref="H9" si="8">( (ROUNDUP(   (G9/1),0))*1)</f>
        <v>0</v>
      </c>
      <c r="I9" s="7"/>
      <c r="J9" s="9">
        <v>35</v>
      </c>
      <c r="K9" s="10">
        <v>34</v>
      </c>
      <c r="L9" s="10">
        <v>33</v>
      </c>
      <c r="M9" s="549">
        <f t="shared" ref="M9" si="9">L9</f>
        <v>33</v>
      </c>
      <c r="N9" s="550"/>
      <c r="O9" s="11">
        <f t="shared" ref="O9" si="10">M9</f>
        <v>33</v>
      </c>
      <c r="Q9" s="525">
        <f t="shared" ref="Q9" si="11">(CHOOSE(((($H9&gt;=(0))+($H9&gt;=($K$4))+($H9&gt;=($L$4))+($H9&gt;=($M$4))+($H9&gt;=($O$4)))),J9,K9,L9,M9,O9))*H9</f>
        <v>0</v>
      </c>
      <c r="R9" s="525"/>
      <c r="S9" s="24"/>
      <c r="T9" s="22" t="e">
        <f>((#REF!="E")*#REF!) + ((#REF!="B")*#REF!) + ((#REF!="EB")*#REF!) + ((#REF!="D")*#REF!)+ ((#REF!="O")*#REF!)</f>
        <v>#REF!</v>
      </c>
    </row>
    <row r="10" spans="2:22" ht="16.5">
      <c r="B10" s="535" t="s">
        <v>133</v>
      </c>
      <c r="C10" s="536"/>
      <c r="D10" s="32">
        <v>60</v>
      </c>
      <c r="E10" s="63">
        <v>100</v>
      </c>
      <c r="F10" s="7"/>
      <c r="G10" s="70"/>
      <c r="H10" s="3">
        <f t="shared" ref="H10" si="12">( (ROUNDUP(   (G10/1),0))*1)</f>
        <v>0</v>
      </c>
      <c r="I10" s="7"/>
      <c r="J10" s="9">
        <v>45</v>
      </c>
      <c r="K10" s="10">
        <v>44</v>
      </c>
      <c r="L10" s="10">
        <v>43</v>
      </c>
      <c r="M10" s="549">
        <f t="shared" ref="M10" si="13">L10</f>
        <v>43</v>
      </c>
      <c r="N10" s="550"/>
      <c r="O10" s="11">
        <f t="shared" ref="O10" si="14">M10</f>
        <v>43</v>
      </c>
      <c r="Q10" s="525">
        <f t="shared" ref="Q10" si="15">(CHOOSE(((($H10&gt;=(0))+($H10&gt;=($K$4))+($H10&gt;=($L$4))+($H10&gt;=($M$4))+($H10&gt;=($O$4)))),J10,K10,L10,M10,O10))*H10</f>
        <v>0</v>
      </c>
      <c r="R10" s="525"/>
      <c r="S10" s="24"/>
      <c r="T10" s="22" t="e">
        <f>((#REF!="E")*#REF!) + ((#REF!="B")*#REF!) + ((#REF!="EB")*#REF!) + ((#REF!="D")*#REF!)+ ((#REF!="O")*#REF!)</f>
        <v>#REF!</v>
      </c>
    </row>
    <row r="11" spans="2:22"/>
  </sheetData>
  <sheetProtection sheet="1" selectLockedCells="1"/>
  <mergeCells count="25">
    <mergeCell ref="B10:C10"/>
    <mergeCell ref="M10:N10"/>
    <mergeCell ref="Q10:R10"/>
    <mergeCell ref="B7:C7"/>
    <mergeCell ref="M7:N7"/>
    <mergeCell ref="Q7:R7"/>
    <mergeCell ref="B8:C8"/>
    <mergeCell ref="M8:N8"/>
    <mergeCell ref="Q8:R8"/>
    <mergeCell ref="B9:C9"/>
    <mergeCell ref="M9:N9"/>
    <mergeCell ref="Q9:R9"/>
    <mergeCell ref="B5:C5"/>
    <mergeCell ref="M5:N5"/>
    <mergeCell ref="Q5:R5"/>
    <mergeCell ref="B6:C6"/>
    <mergeCell ref="M6:N6"/>
    <mergeCell ref="Q6:R6"/>
    <mergeCell ref="J2:L2"/>
    <mergeCell ref="D3:E3"/>
    <mergeCell ref="Q3:R3"/>
    <mergeCell ref="B4:C4"/>
    <mergeCell ref="M4:N4"/>
    <mergeCell ref="Q4:R4"/>
    <mergeCell ref="J3:L3"/>
  </mergeCells>
  <conditionalFormatting sqref="B1">
    <cfRule type="expression" dxfId="74" priority="1">
      <formula>$D1&gt;0</formula>
    </cfRule>
  </conditionalFormatting>
  <conditionalFormatting sqref="D5:E10">
    <cfRule type="expression" dxfId="73" priority="2">
      <formula>$G5&gt;0</formula>
    </cfRule>
  </conditionalFormatting>
  <conditionalFormatting sqref="F4:F7">
    <cfRule type="expression" dxfId="72" priority="55">
      <formula>#REF!=1</formula>
    </cfRule>
  </conditionalFormatting>
  <conditionalFormatting sqref="F10">
    <cfRule type="expression" dxfId="71" priority="23">
      <formula>#REF!=1</formula>
    </cfRule>
  </conditionalFormatting>
  <conditionalFormatting sqref="G5:G10">
    <cfRule type="cellIs" dxfId="70" priority="7" operator="equal">
      <formula>0</formula>
    </cfRule>
    <cfRule type="cellIs" dxfId="69" priority="9" operator="equal">
      <formula>H5</formula>
    </cfRule>
  </conditionalFormatting>
  <conditionalFormatting sqref="H5:H10">
    <cfRule type="cellIs" dxfId="68" priority="8" operator="notEqual">
      <formula>G5</formula>
    </cfRule>
  </conditionalFormatting>
  <conditionalFormatting sqref="I5:I10">
    <cfRule type="expression" dxfId="67" priority="12">
      <formula>#REF!=1</formula>
    </cfRule>
  </conditionalFormatting>
  <conditionalFormatting sqref="J2 M2:O2">
    <cfRule type="cellIs" dxfId="66" priority="47" operator="equal">
      <formula>0</formula>
    </cfRule>
  </conditionalFormatting>
  <conditionalFormatting sqref="J5:J10">
    <cfRule type="expression" dxfId="65" priority="11">
      <formula>(($H5&gt;0)) * ($H5&lt;$K$4)</formula>
    </cfRule>
  </conditionalFormatting>
  <conditionalFormatting sqref="K5:K10">
    <cfRule type="expression" dxfId="64" priority="6">
      <formula>($H5&gt;=$K$4)  * ($H5&lt;$L$4)</formula>
    </cfRule>
  </conditionalFormatting>
  <conditionalFormatting sqref="L5:L10">
    <cfRule type="expression" dxfId="63" priority="5">
      <formula>$H5&gt;=$L$4</formula>
    </cfRule>
  </conditionalFormatting>
  <conditionalFormatting sqref="M5:M10">
    <cfRule type="expression" dxfId="62" priority="4">
      <formula>((($H5&gt;=500)*($H5&lt;1000)))=1</formula>
    </cfRule>
  </conditionalFormatting>
  <conditionalFormatting sqref="O5:O10">
    <cfRule type="expression" dxfId="61" priority="3">
      <formula>($H5&gt;=1000)</formula>
    </cfRule>
  </conditionalFormatting>
  <conditionalFormatting sqref="Q5:Q10 S5:S10">
    <cfRule type="cellIs" dxfId="60" priority="10" operator="greaterThan">
      <formula>0</formula>
    </cfRule>
  </conditionalFormatting>
  <hyperlinks>
    <hyperlink ref="B1" location="GERAL!A1" display="GERAL" xr:uid="{8C3D2130-98A9-4F1F-96AD-54E4D6B40523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3F2BC-FCC0-404D-9E72-E41817BEABC6}">
  <sheetPr codeName="Planilha4" filterMode="1"/>
  <dimension ref="A1:AD76"/>
  <sheetViews>
    <sheetView zoomScaleNormal="100" workbookViewId="0">
      <pane ySplit="10" topLeftCell="A11" activePane="bottomLeft" state="frozen"/>
      <selection pane="bottomLeft" activeCell="H11" sqref="H11"/>
    </sheetView>
  </sheetViews>
  <sheetFormatPr defaultColWidth="9.140625" defaultRowHeight="15" customHeight="1"/>
  <cols>
    <col min="1" max="1" width="13.28515625" style="1" customWidth="1"/>
    <col min="2" max="3" width="9.140625" style="113" customWidth="1"/>
    <col min="4" max="4" width="15.5703125" style="113" customWidth="1"/>
    <col min="5" max="5" width="1.42578125" style="113" customWidth="1"/>
    <col min="6" max="6" width="11.5703125" style="1" customWidth="1"/>
    <col min="7" max="7" width="7.140625" style="115" customWidth="1"/>
    <col min="8" max="8" width="11.42578125" style="1" bestFit="1" customWidth="1"/>
    <col min="9" max="9" width="1.42578125" customWidth="1"/>
    <col min="10" max="10" width="2.28515625" style="1" customWidth="1"/>
    <col min="11" max="11" width="1.42578125" style="1" customWidth="1"/>
    <col min="12" max="12" width="20.5703125" style="1" customWidth="1"/>
    <col min="13" max="13" width="13.28515625" style="1" customWidth="1"/>
    <col min="14" max="14" width="1.42578125" style="1" customWidth="1"/>
    <col min="15" max="15" width="2.42578125" style="1" customWidth="1"/>
    <col min="16" max="16" width="17.5703125" style="1" bestFit="1" customWidth="1"/>
    <col min="17" max="17" width="15.7109375" style="1" customWidth="1"/>
    <col min="18" max="18" width="2.7109375" style="1" customWidth="1"/>
    <col min="19" max="20" width="9.140625" style="1" customWidth="1"/>
    <col min="21" max="21" width="9.140625" style="114" customWidth="1"/>
    <col min="22" max="26" width="9.140625" style="1" customWidth="1"/>
    <col min="27" max="16384" width="9.140625" style="1"/>
  </cols>
  <sheetData>
    <row r="1" spans="1:30" s="104" customFormat="1" ht="24.75" customHeight="1">
      <c r="B1" s="609" t="s">
        <v>297</v>
      </c>
      <c r="C1" s="609"/>
      <c r="D1" s="75">
        <v>1</v>
      </c>
      <c r="E1" s="178"/>
      <c r="F1" s="75"/>
      <c r="G1" s="179"/>
      <c r="H1" s="75">
        <v>1</v>
      </c>
      <c r="I1" s="75"/>
      <c r="J1" s="75"/>
      <c r="K1" s="75"/>
      <c r="L1" s="75"/>
      <c r="M1" s="75">
        <v>1</v>
      </c>
      <c r="N1" s="75"/>
      <c r="O1" s="75"/>
      <c r="P1" s="75"/>
      <c r="Q1" s="75">
        <v>1</v>
      </c>
      <c r="R1" s="75"/>
      <c r="S1" s="75"/>
      <c r="T1" s="75">
        <f>Q1+M1+H1+D1</f>
        <v>4</v>
      </c>
      <c r="W1" s="107"/>
      <c r="X1" s="107"/>
    </row>
    <row r="2" spans="1:30" s="104" customFormat="1" ht="11.25" customHeight="1">
      <c r="B2" s="105"/>
      <c r="C2" s="105"/>
      <c r="D2" s="105"/>
      <c r="E2" s="105">
        <v>1</v>
      </c>
      <c r="G2" s="106"/>
      <c r="I2" s="104">
        <v>1</v>
      </c>
    </row>
    <row r="3" spans="1:30" s="60" customFormat="1" ht="15" customHeight="1">
      <c r="A3" s="108"/>
      <c r="B3" s="109" t="s">
        <v>163</v>
      </c>
      <c r="C3" s="637" t="s">
        <v>183</v>
      </c>
      <c r="D3" s="638"/>
      <c r="E3" s="110"/>
      <c r="F3" s="111" t="s">
        <v>164</v>
      </c>
      <c r="G3" s="639" t="s">
        <v>184</v>
      </c>
      <c r="H3" s="639"/>
      <c r="I3" s="639"/>
      <c r="J3" s="640"/>
      <c r="K3" s="108"/>
      <c r="L3" s="626" t="s">
        <v>165</v>
      </c>
      <c r="M3" s="627"/>
      <c r="N3" s="108"/>
      <c r="O3" s="628"/>
      <c r="P3" s="629"/>
      <c r="Q3" s="630"/>
      <c r="R3" s="108"/>
      <c r="S3" s="108"/>
      <c r="T3" s="108"/>
      <c r="U3" s="112"/>
      <c r="V3" s="108"/>
      <c r="W3" s="108"/>
      <c r="X3" s="108"/>
      <c r="Y3" s="108"/>
      <c r="Z3" s="108"/>
      <c r="AA3" s="108"/>
      <c r="AB3" s="108"/>
      <c r="AC3" s="108"/>
      <c r="AD3" s="108"/>
    </row>
    <row r="4" spans="1:30" ht="15" customHeight="1">
      <c r="B4" s="631"/>
      <c r="C4" s="632"/>
      <c r="D4" s="633"/>
      <c r="F4" s="616"/>
      <c r="G4" s="617"/>
      <c r="H4" s="617"/>
      <c r="I4" s="617"/>
      <c r="J4" s="618"/>
      <c r="L4" s="622"/>
      <c r="M4" s="623"/>
      <c r="O4" s="634"/>
      <c r="P4" s="635"/>
      <c r="Q4" s="636"/>
    </row>
    <row r="5" spans="1:30" ht="15" customHeight="1">
      <c r="B5" s="631"/>
      <c r="C5" s="632"/>
      <c r="D5" s="633"/>
      <c r="F5" s="616"/>
      <c r="G5" s="617"/>
      <c r="H5" s="617"/>
      <c r="I5" s="617"/>
      <c r="J5" s="618"/>
      <c r="L5" s="622"/>
      <c r="M5" s="623"/>
      <c r="O5" s="634"/>
      <c r="P5" s="635"/>
      <c r="Q5" s="636"/>
    </row>
    <row r="6" spans="1:30" ht="15" customHeight="1">
      <c r="B6" s="613"/>
      <c r="C6" s="614"/>
      <c r="D6" s="615"/>
      <c r="F6" s="619"/>
      <c r="G6" s="620"/>
      <c r="H6" s="620"/>
      <c r="I6" s="620"/>
      <c r="J6" s="621"/>
      <c r="L6" s="624"/>
      <c r="M6" s="625"/>
      <c r="O6" s="610"/>
      <c r="P6" s="611"/>
      <c r="Q6" s="612"/>
    </row>
    <row r="7" spans="1:30" ht="15" hidden="1" customHeight="1">
      <c r="B7" s="603" t="str">
        <f>CHOOSE((D1+1),"NÃO SELECIONADO","SELECIONADO")</f>
        <v>SELECIONADO</v>
      </c>
      <c r="C7" s="604"/>
      <c r="D7" s="605"/>
      <c r="F7" s="603" t="str">
        <f>CHOOSE((H1+1),"NÃO SELECIONADO","SELECIONADO")</f>
        <v>SELECIONADO</v>
      </c>
      <c r="G7" s="604"/>
      <c r="H7" s="604"/>
      <c r="I7" s="604"/>
      <c r="J7" s="605"/>
      <c r="L7" s="606" t="str">
        <f>CHOOSE((M1+1),"NÃO SELECIONADO","SELECIONADO")</f>
        <v>SELECIONADO</v>
      </c>
      <c r="M7" s="607"/>
      <c r="O7" s="606" t="str">
        <f>CHOOSE((Q1+1),"NÃO SELECIONADO","SELECIONADO")</f>
        <v>SELECIONADO</v>
      </c>
      <c r="P7" s="608"/>
      <c r="Q7" s="607"/>
    </row>
    <row r="8" spans="1:30" ht="8.25" customHeight="1">
      <c r="I8" s="1"/>
    </row>
    <row r="9" spans="1:30" ht="21" customHeight="1">
      <c r="B9" s="154"/>
      <c r="L9" s="534" t="str">
        <f>CHOOSE( (1+  ((COUNT(H10:H100000))&gt;0)+((COUNT(H10:H100000))&gt;1)),"Não Selecionado",(COUNT(H10:H100000))&amp;" Produto",(COUNT(H10:H100000))&amp;" Produtos")</f>
        <v>Não Selecionado</v>
      </c>
      <c r="M9" s="534"/>
      <c r="N9" s="35"/>
      <c r="O9" s="35"/>
      <c r="P9" s="35"/>
      <c r="Q9" s="116">
        <f>SUM(Q11:Q9964)</f>
        <v>0</v>
      </c>
    </row>
    <row r="10" spans="1:30" s="121" customFormat="1" ht="15" customHeight="1">
      <c r="A10" s="117"/>
      <c r="B10" s="554" t="s">
        <v>170</v>
      </c>
      <c r="C10" s="554"/>
      <c r="D10" s="587" t="s">
        <v>157</v>
      </c>
      <c r="E10" s="587"/>
      <c r="F10" s="588"/>
      <c r="G10" s="118" t="s">
        <v>162</v>
      </c>
      <c r="H10" s="119" t="s">
        <v>158</v>
      </c>
      <c r="I10" s="120"/>
      <c r="J10" s="589" t="s">
        <v>159</v>
      </c>
      <c r="K10" s="589"/>
      <c r="L10" s="590"/>
      <c r="M10" s="551" t="s">
        <v>161</v>
      </c>
      <c r="N10" s="552"/>
      <c r="O10" s="553"/>
      <c r="P10" s="118" t="s">
        <v>160</v>
      </c>
      <c r="Q10" s="118" t="s">
        <v>128</v>
      </c>
      <c r="U10" s="122"/>
    </row>
    <row r="11" spans="1:30" ht="15" customHeight="1">
      <c r="A11" s="123"/>
      <c r="B11" s="555">
        <v>5</v>
      </c>
      <c r="C11" s="557">
        <v>3</v>
      </c>
      <c r="D11" s="573" t="s">
        <v>166</v>
      </c>
      <c r="E11" s="574"/>
      <c r="F11" s="575"/>
      <c r="G11" s="559" t="s">
        <v>163</v>
      </c>
      <c r="H11" s="137"/>
      <c r="J11" s="591">
        <v>100</v>
      </c>
      <c r="K11" s="592"/>
      <c r="L11" s="593"/>
      <c r="M11" s="561">
        <f>(H11*J11)+(H12*J12)</f>
        <v>0</v>
      </c>
      <c r="N11" s="562"/>
      <c r="O11" s="563"/>
      <c r="P11" s="124">
        <v>5</v>
      </c>
      <c r="Q11" s="124">
        <f>P11*H11</f>
        <v>0</v>
      </c>
      <c r="S11" s="125">
        <f>SIGN($H11+$H12)</f>
        <v>0</v>
      </c>
      <c r="U11" s="114">
        <f>(($G11="LC")*$D$1) + (($G11="FR")*$H$1) + (($G11="SI")*$M$1) + (($G11="O")*$Q$1)</f>
        <v>1</v>
      </c>
    </row>
    <row r="12" spans="1:30" ht="15" customHeight="1">
      <c r="A12" s="123"/>
      <c r="B12" s="556"/>
      <c r="C12" s="558"/>
      <c r="D12" s="576" t="s">
        <v>194</v>
      </c>
      <c r="E12" s="577"/>
      <c r="F12" s="578"/>
      <c r="G12" s="560"/>
      <c r="H12" s="138"/>
      <c r="J12" s="594">
        <v>1000</v>
      </c>
      <c r="K12" s="595"/>
      <c r="L12" s="596"/>
      <c r="M12" s="564"/>
      <c r="N12" s="565"/>
      <c r="O12" s="566"/>
      <c r="P12" s="126">
        <v>25</v>
      </c>
      <c r="Q12" s="126">
        <f>P12*H12</f>
        <v>0</v>
      </c>
      <c r="S12" s="125">
        <f>S11</f>
        <v>0</v>
      </c>
      <c r="U12" s="114">
        <f>(($G11="LC")*$D$1) + (($G11="FR")*$H$1) + (($G11="SI")*$M$1) + (($G11="O")*$Q$1)</f>
        <v>1</v>
      </c>
    </row>
    <row r="13" spans="1:30" ht="7.5" customHeight="1">
      <c r="G13" s="127" t="str">
        <f>G11</f>
        <v>LC</v>
      </c>
      <c r="U13" s="114">
        <f>(($G13="LC")*$D$1) + (($G13="FR")*$H$1) + (($G13="SI")*$M$1) + (($G13="O")*$Q$1)</f>
        <v>1</v>
      </c>
    </row>
    <row r="14" spans="1:30" ht="15" customHeight="1">
      <c r="B14" s="555">
        <v>10</v>
      </c>
      <c r="C14" s="557">
        <v>3</v>
      </c>
      <c r="D14" s="573" t="s">
        <v>167</v>
      </c>
      <c r="E14" s="574"/>
      <c r="F14" s="575"/>
      <c r="G14" s="559" t="s">
        <v>163</v>
      </c>
      <c r="H14" s="137"/>
      <c r="J14" s="591">
        <v>100</v>
      </c>
      <c r="K14" s="592"/>
      <c r="L14" s="593"/>
      <c r="M14" s="561">
        <f>(H14*J14)+(H15*J15)</f>
        <v>0</v>
      </c>
      <c r="N14" s="562"/>
      <c r="O14" s="563"/>
      <c r="P14" s="124">
        <v>8</v>
      </c>
      <c r="Q14" s="124">
        <f>P14*H14</f>
        <v>0</v>
      </c>
      <c r="S14" s="125">
        <f>SIGN($H14+$H15)</f>
        <v>0</v>
      </c>
      <c r="U14" s="114">
        <f>(($G14="LC")*$D$1) + (($G14="FR")*$H$1) + (($G14="SI")*$M$1) + (($G14="O")*$Q$1)</f>
        <v>1</v>
      </c>
    </row>
    <row r="15" spans="1:30" ht="15" customHeight="1">
      <c r="B15" s="556"/>
      <c r="C15" s="558"/>
      <c r="D15" s="576" t="s">
        <v>196</v>
      </c>
      <c r="E15" s="577"/>
      <c r="F15" s="578"/>
      <c r="G15" s="560"/>
      <c r="H15" s="138"/>
      <c r="J15" s="594">
        <v>1000</v>
      </c>
      <c r="K15" s="595"/>
      <c r="L15" s="596"/>
      <c r="M15" s="564"/>
      <c r="N15" s="565"/>
      <c r="O15" s="566"/>
      <c r="P15" s="126">
        <v>40</v>
      </c>
      <c r="Q15" s="126">
        <f>P15*H15</f>
        <v>0</v>
      </c>
      <c r="S15" s="125">
        <f>S14</f>
        <v>0</v>
      </c>
      <c r="U15" s="114">
        <f>(($G14="LC")*$D$1) + (($G14="FR")*$H$1) + (($G14="SI")*$M$1) + (($G14="O")*$Q$1)</f>
        <v>1</v>
      </c>
    </row>
    <row r="16" spans="1:30" ht="7.5" customHeight="1">
      <c r="G16" s="127" t="str">
        <f>G14</f>
        <v>LC</v>
      </c>
      <c r="U16" s="114">
        <f>(($G16="LC")*$D$1) + (($G16="FR")*$H$1) + (($G16="SI")*$M$1) + (($G16="O")*$Q$1)</f>
        <v>1</v>
      </c>
    </row>
    <row r="17" spans="2:21" ht="15" customHeight="1">
      <c r="B17" s="555">
        <v>10</v>
      </c>
      <c r="C17" s="557">
        <v>5</v>
      </c>
      <c r="D17" s="573" t="s">
        <v>193</v>
      </c>
      <c r="E17" s="574"/>
      <c r="F17" s="575"/>
      <c r="G17" s="559" t="s">
        <v>163</v>
      </c>
      <c r="H17" s="137"/>
      <c r="J17" s="591">
        <v>50</v>
      </c>
      <c r="K17" s="592"/>
      <c r="L17" s="593"/>
      <c r="M17" s="561">
        <f>(H17*J17)+(H18*J18)</f>
        <v>0</v>
      </c>
      <c r="N17" s="562"/>
      <c r="O17" s="563"/>
      <c r="P17" s="124">
        <v>8</v>
      </c>
      <c r="Q17" s="124">
        <f>P17*H17</f>
        <v>0</v>
      </c>
      <c r="S17" s="125">
        <f>SIGN($H17+$H18)</f>
        <v>0</v>
      </c>
      <c r="U17" s="114">
        <f>(($G17="LC")*$D$1) + (($G17="FR")*$H$1) + (($G17="SI")*$M$1) + (($G17="O")*$Q$1)</f>
        <v>1</v>
      </c>
    </row>
    <row r="18" spans="2:21" ht="15" customHeight="1">
      <c r="B18" s="556"/>
      <c r="C18" s="558"/>
      <c r="D18" s="576" t="s">
        <v>195</v>
      </c>
      <c r="E18" s="577"/>
      <c r="F18" s="578"/>
      <c r="G18" s="560"/>
      <c r="H18" s="138"/>
      <c r="J18" s="594">
        <v>500</v>
      </c>
      <c r="K18" s="595"/>
      <c r="L18" s="596"/>
      <c r="M18" s="564"/>
      <c r="N18" s="565"/>
      <c r="O18" s="566"/>
      <c r="P18" s="126">
        <v>40</v>
      </c>
      <c r="Q18" s="126">
        <f>P18*H18</f>
        <v>0</v>
      </c>
      <c r="S18" s="125">
        <f>S17</f>
        <v>0</v>
      </c>
      <c r="U18" s="114">
        <f>(($G17="LC")*$D$1) + (($G17="FR")*$H$1) + (($G17="SI")*$M$1) + (($G17="O")*$Q$1)</f>
        <v>1</v>
      </c>
    </row>
    <row r="19" spans="2:21" ht="7.5" customHeight="1">
      <c r="G19" s="127" t="str">
        <f>G17</f>
        <v>LC</v>
      </c>
      <c r="U19" s="114">
        <f>(($G19="LC")*$D$1) + (($G19="FR")*$H$1) + (($G19="SI")*$M$1) + (($G19="O")*$Q$1)</f>
        <v>1</v>
      </c>
    </row>
    <row r="20" spans="2:21" ht="15" customHeight="1">
      <c r="B20" s="555">
        <v>3.5</v>
      </c>
      <c r="C20" s="557">
        <v>2.2999999999999998</v>
      </c>
      <c r="D20" s="573" t="s">
        <v>168</v>
      </c>
      <c r="E20" s="574"/>
      <c r="F20" s="575"/>
      <c r="G20" s="571" t="s">
        <v>164</v>
      </c>
      <c r="H20" s="137"/>
      <c r="J20" s="591">
        <v>300</v>
      </c>
      <c r="K20" s="592"/>
      <c r="L20" s="593"/>
      <c r="M20" s="561">
        <f>(H20*J20)+(H21*J21)</f>
        <v>0</v>
      </c>
      <c r="N20" s="562"/>
      <c r="O20" s="563"/>
      <c r="P20" s="124">
        <v>8</v>
      </c>
      <c r="Q20" s="124">
        <f>P20*H20</f>
        <v>0</v>
      </c>
      <c r="S20" s="125">
        <f>SIGN($H20+$H21)</f>
        <v>0</v>
      </c>
      <c r="U20" s="114">
        <f>(($G20="LC")*$D$1) + (($G20="FR")*$H$1) + (($G20="SI")*$M$1) + (($G20="O")*$Q$1)</f>
        <v>1</v>
      </c>
    </row>
    <row r="21" spans="2:21" ht="15" customHeight="1">
      <c r="B21" s="556"/>
      <c r="C21" s="558"/>
      <c r="D21" s="576" t="s">
        <v>185</v>
      </c>
      <c r="E21" s="577"/>
      <c r="F21" s="578"/>
      <c r="G21" s="572"/>
      <c r="H21" s="138"/>
      <c r="J21" s="594">
        <v>3000</v>
      </c>
      <c r="K21" s="595"/>
      <c r="L21" s="596"/>
      <c r="M21" s="564"/>
      <c r="N21" s="565"/>
      <c r="O21" s="566"/>
      <c r="P21" s="126">
        <v>40</v>
      </c>
      <c r="Q21" s="126">
        <f>P21*H21</f>
        <v>0</v>
      </c>
      <c r="S21" s="125">
        <f>S20</f>
        <v>0</v>
      </c>
      <c r="U21" s="114">
        <f>(($G20="LC")*$D$1) + (($G20="FR")*$H$1) + (($G20="SI")*$M$1) + (($G20="O")*$Q$1)</f>
        <v>1</v>
      </c>
    </row>
    <row r="22" spans="2:21" ht="7.5" customHeight="1">
      <c r="G22" s="127" t="str">
        <f>G20</f>
        <v>FR</v>
      </c>
      <c r="U22" s="114">
        <f>(($G22="LC")*$D$1) + (($G22="FR")*$H$1) + (($G22="SI")*$M$1) + (($G22="O")*$Q$1)</f>
        <v>1</v>
      </c>
    </row>
    <row r="23" spans="2:21" ht="15" customHeight="1">
      <c r="B23" s="555">
        <v>3.5</v>
      </c>
      <c r="C23" s="557">
        <v>2.2999999999999998</v>
      </c>
      <c r="D23" s="573" t="s">
        <v>168</v>
      </c>
      <c r="E23" s="574"/>
      <c r="F23" s="575"/>
      <c r="G23" s="571" t="s">
        <v>164</v>
      </c>
      <c r="H23" s="137"/>
      <c r="J23" s="591">
        <v>300</v>
      </c>
      <c r="K23" s="592"/>
      <c r="L23" s="593"/>
      <c r="M23" s="561">
        <f>(H23*J23)+(H24*J24)</f>
        <v>0</v>
      </c>
      <c r="N23" s="562"/>
      <c r="O23" s="563"/>
      <c r="P23" s="124">
        <v>8</v>
      </c>
      <c r="Q23" s="124">
        <f>P23*H23</f>
        <v>0</v>
      </c>
      <c r="S23" s="125">
        <f>SIGN($H23+$H24)</f>
        <v>0</v>
      </c>
      <c r="U23" s="114">
        <f>(($G23="LC")*$D$1) + (($G23="FR")*$H$1) + (($G23="SI")*$M$1) + (($G23="O")*$Q$1)</f>
        <v>1</v>
      </c>
    </row>
    <row r="24" spans="2:21" ht="15" customHeight="1">
      <c r="B24" s="556"/>
      <c r="C24" s="558"/>
      <c r="D24" s="576" t="s">
        <v>186</v>
      </c>
      <c r="E24" s="577"/>
      <c r="F24" s="578"/>
      <c r="G24" s="572"/>
      <c r="H24" s="138"/>
      <c r="J24" s="594">
        <v>3000</v>
      </c>
      <c r="K24" s="595"/>
      <c r="L24" s="596"/>
      <c r="M24" s="564"/>
      <c r="N24" s="565"/>
      <c r="O24" s="566"/>
      <c r="P24" s="126">
        <v>40</v>
      </c>
      <c r="Q24" s="126">
        <f>P24*H24</f>
        <v>0</v>
      </c>
      <c r="S24" s="125">
        <f>S23</f>
        <v>0</v>
      </c>
      <c r="U24" s="114">
        <f>(($G23="LC")*$D$1) + (($G23="FR")*$H$1) + (($G23="SI")*$M$1) + (($G23="O")*$Q$1)</f>
        <v>1</v>
      </c>
    </row>
    <row r="25" spans="2:21" ht="7.5" customHeight="1">
      <c r="G25" s="127" t="str">
        <f>G23</f>
        <v>FR</v>
      </c>
      <c r="U25" s="114">
        <f>(($G25="LC")*$D$1) + (($G25="FR")*$H$1) + (($G25="SI")*$M$1) + (($G25="O")*$Q$1)</f>
        <v>1</v>
      </c>
    </row>
    <row r="26" spans="2:21" ht="15" customHeight="1">
      <c r="B26" s="555">
        <v>5.7</v>
      </c>
      <c r="C26" s="555">
        <v>3.5</v>
      </c>
      <c r="D26" s="579" t="s">
        <v>168</v>
      </c>
      <c r="E26" s="574"/>
      <c r="F26" s="575"/>
      <c r="G26" s="571" t="s">
        <v>164</v>
      </c>
      <c r="H26" s="137"/>
      <c r="J26" s="591">
        <v>300</v>
      </c>
      <c r="K26" s="592"/>
      <c r="L26" s="593"/>
      <c r="M26" s="561">
        <f>(H26*J26)+(H27*J27)</f>
        <v>0</v>
      </c>
      <c r="N26" s="562"/>
      <c r="O26" s="563"/>
      <c r="P26" s="124">
        <v>15</v>
      </c>
      <c r="Q26" s="124">
        <f>P26*H26</f>
        <v>0</v>
      </c>
      <c r="S26" s="125">
        <f>SIGN($H26+$H27)</f>
        <v>0</v>
      </c>
      <c r="U26" s="114">
        <f>(($G26="LC")*$D$1) + (($G26="FR")*$H$1) + (($G26="SI")*$M$1) + (($G26="O")*$Q$1)</f>
        <v>1</v>
      </c>
    </row>
    <row r="27" spans="2:21" ht="15" customHeight="1">
      <c r="B27" s="556"/>
      <c r="C27" s="556"/>
      <c r="D27" s="580" t="s">
        <v>185</v>
      </c>
      <c r="E27" s="577"/>
      <c r="F27" s="578"/>
      <c r="G27" s="572"/>
      <c r="H27" s="138"/>
      <c r="J27" s="594">
        <v>3000</v>
      </c>
      <c r="K27" s="595"/>
      <c r="L27" s="596"/>
      <c r="M27" s="564"/>
      <c r="N27" s="565"/>
      <c r="O27" s="566"/>
      <c r="P27" s="126">
        <v>75</v>
      </c>
      <c r="Q27" s="126">
        <f>P27*H27</f>
        <v>0</v>
      </c>
      <c r="S27" s="125">
        <f>S26</f>
        <v>0</v>
      </c>
      <c r="U27" s="114">
        <f>(($G26="LC")*$D$1) + (($G26="FR")*$H$1) + (($G26="SI")*$M$1) + (($G26="O")*$Q$1)</f>
        <v>1</v>
      </c>
    </row>
    <row r="28" spans="2:21" ht="7.5" customHeight="1">
      <c r="G28" s="127" t="str">
        <f>G26</f>
        <v>FR</v>
      </c>
      <c r="U28" s="114">
        <f>(($G28="LC")*$D$1) + (($G28="FR")*$H$1) + (($G28="SI")*$M$1) + (($G28="O")*$Q$1)</f>
        <v>1</v>
      </c>
    </row>
    <row r="29" spans="2:21" ht="15" customHeight="1">
      <c r="B29" s="567">
        <v>5.7</v>
      </c>
      <c r="C29" s="569">
        <v>3.5</v>
      </c>
      <c r="D29" s="573" t="s">
        <v>168</v>
      </c>
      <c r="E29" s="574"/>
      <c r="F29" s="575"/>
      <c r="G29" s="571" t="s">
        <v>164</v>
      </c>
      <c r="H29" s="137"/>
      <c r="J29" s="591">
        <v>300</v>
      </c>
      <c r="K29" s="592"/>
      <c r="L29" s="593"/>
      <c r="M29" s="561">
        <f>(H29*J29)+(H30*J30)</f>
        <v>0</v>
      </c>
      <c r="N29" s="562"/>
      <c r="O29" s="563"/>
      <c r="P29" s="124">
        <v>15</v>
      </c>
      <c r="Q29" s="124">
        <f>P29*H29</f>
        <v>0</v>
      </c>
      <c r="S29" s="125">
        <f>SIGN($H29+$H30)</f>
        <v>0</v>
      </c>
      <c r="U29" s="114">
        <f>(($G29="LC")*$D$1) + (($G29="FR")*$H$1) + (($G29="SI")*$M$1) + (($G29="O")*$Q$1)</f>
        <v>1</v>
      </c>
    </row>
    <row r="30" spans="2:21" ht="15" customHeight="1">
      <c r="B30" s="568"/>
      <c r="C30" s="570"/>
      <c r="D30" s="576" t="s">
        <v>186</v>
      </c>
      <c r="E30" s="577"/>
      <c r="F30" s="578"/>
      <c r="G30" s="572"/>
      <c r="H30" s="138"/>
      <c r="J30" s="594">
        <v>3000</v>
      </c>
      <c r="K30" s="595"/>
      <c r="L30" s="596"/>
      <c r="M30" s="564"/>
      <c r="N30" s="565"/>
      <c r="O30" s="566"/>
      <c r="P30" s="126">
        <v>75</v>
      </c>
      <c r="Q30" s="126">
        <f>P30*H30</f>
        <v>0</v>
      </c>
      <c r="S30" s="125">
        <f>S29</f>
        <v>0</v>
      </c>
      <c r="U30" s="114">
        <f>(($G29="LC")*$D$1) + (($G29="FR")*$H$1) + (($G29="SI")*$M$1) + (($G29="O")*$Q$1)</f>
        <v>1</v>
      </c>
    </row>
    <row r="31" spans="2:21" ht="7.5" customHeight="1">
      <c r="G31" s="127" t="str">
        <f>G29</f>
        <v>FR</v>
      </c>
      <c r="U31" s="114">
        <f>(($G31="LC")*$D$1) + (($G31="FR")*$H$1) + (($G31="SI")*$M$1) + (($G31="O")*$Q$1)</f>
        <v>1</v>
      </c>
    </row>
    <row r="32" spans="2:21" ht="15" customHeight="1">
      <c r="B32" s="567">
        <v>10</v>
      </c>
      <c r="C32" s="569">
        <v>6</v>
      </c>
      <c r="D32" s="573" t="s">
        <v>168</v>
      </c>
      <c r="E32" s="574"/>
      <c r="F32" s="575"/>
      <c r="G32" s="571" t="s">
        <v>164</v>
      </c>
      <c r="H32" s="137"/>
      <c r="J32" s="591">
        <v>50</v>
      </c>
      <c r="K32" s="592"/>
      <c r="L32" s="593"/>
      <c r="M32" s="561">
        <f>(H32*J32)+(H33*J33)</f>
        <v>0</v>
      </c>
      <c r="N32" s="562"/>
      <c r="O32" s="563"/>
      <c r="P32" s="124">
        <v>14</v>
      </c>
      <c r="Q32" s="124">
        <f>P32*H32</f>
        <v>0</v>
      </c>
      <c r="S32" s="125">
        <f>SIGN($H32+$H33)</f>
        <v>0</v>
      </c>
      <c r="U32" s="114">
        <f>(($G32="LC")*$D$1) + (($G32="FR")*$H$1) + (($G32="SI")*$M$1) + (($G32="O")*$Q$1)</f>
        <v>1</v>
      </c>
    </row>
    <row r="33" spans="2:21" ht="15" customHeight="1">
      <c r="B33" s="568"/>
      <c r="C33" s="570"/>
      <c r="D33" s="576" t="s">
        <v>185</v>
      </c>
      <c r="E33" s="577"/>
      <c r="F33" s="578"/>
      <c r="G33" s="572"/>
      <c r="H33" s="138"/>
      <c r="J33" s="594">
        <v>500</v>
      </c>
      <c r="K33" s="595"/>
      <c r="L33" s="596"/>
      <c r="M33" s="564"/>
      <c r="N33" s="565"/>
      <c r="O33" s="566"/>
      <c r="P33" s="126">
        <v>70</v>
      </c>
      <c r="Q33" s="126">
        <f>P33*H33</f>
        <v>0</v>
      </c>
      <c r="S33" s="125">
        <f>S32</f>
        <v>0</v>
      </c>
      <c r="U33" s="114">
        <f>(($G32="LC")*$D$1) + (($G32="FR")*$H$1) + (($G32="SI")*$M$1) + (($G32="O")*$Q$1)</f>
        <v>1</v>
      </c>
    </row>
    <row r="34" spans="2:21" ht="7.5" customHeight="1">
      <c r="G34" s="127" t="str">
        <f>G32</f>
        <v>FR</v>
      </c>
      <c r="U34" s="114">
        <f>(($G34="LC")*$D$1) + (($G34="FR")*$H$1) + (($G34="SI")*$M$1) + (($G34="O")*$Q$1)</f>
        <v>1</v>
      </c>
    </row>
    <row r="35" spans="2:21" ht="15" customHeight="1">
      <c r="B35" s="567">
        <v>10</v>
      </c>
      <c r="C35" s="569">
        <v>6</v>
      </c>
      <c r="D35" s="573" t="s">
        <v>168</v>
      </c>
      <c r="E35" s="574"/>
      <c r="F35" s="575"/>
      <c r="G35" s="571" t="s">
        <v>164</v>
      </c>
      <c r="H35" s="137"/>
      <c r="J35" s="591">
        <v>50</v>
      </c>
      <c r="K35" s="592"/>
      <c r="L35" s="593"/>
      <c r="M35" s="561">
        <f>(H35*J35)+(H36*J36)</f>
        <v>0</v>
      </c>
      <c r="N35" s="562"/>
      <c r="O35" s="563"/>
      <c r="P35" s="124">
        <v>14</v>
      </c>
      <c r="Q35" s="124">
        <f>P35*H35</f>
        <v>0</v>
      </c>
      <c r="S35" s="125">
        <f>SIGN($H35+$H36)</f>
        <v>0</v>
      </c>
      <c r="U35" s="114">
        <f>(($G35="LC")*$D$1) + (($G35="FR")*$H$1) + (($G35="SI")*$M$1) + (($G35="O")*$Q$1)</f>
        <v>1</v>
      </c>
    </row>
    <row r="36" spans="2:21" ht="15" customHeight="1">
      <c r="B36" s="568"/>
      <c r="C36" s="570"/>
      <c r="D36" s="576" t="s">
        <v>186</v>
      </c>
      <c r="E36" s="577"/>
      <c r="F36" s="578"/>
      <c r="G36" s="572"/>
      <c r="H36" s="138"/>
      <c r="J36" s="594">
        <v>500</v>
      </c>
      <c r="K36" s="595"/>
      <c r="L36" s="596"/>
      <c r="M36" s="564"/>
      <c r="N36" s="565"/>
      <c r="O36" s="566"/>
      <c r="P36" s="126">
        <v>70</v>
      </c>
      <c r="Q36" s="126">
        <f>P36*H36</f>
        <v>0</v>
      </c>
      <c r="S36" s="125">
        <f>S35</f>
        <v>0</v>
      </c>
      <c r="U36" s="114">
        <f>(($G35="LC")*$D$1) + (($G35="FR")*$H$1) + (($G35="SI")*$M$1) + (($G35="O")*$Q$1)</f>
        <v>1</v>
      </c>
    </row>
    <row r="37" spans="2:21" ht="7.5" customHeight="1">
      <c r="G37" s="127" t="str">
        <f>G35</f>
        <v>FR</v>
      </c>
      <c r="U37" s="114">
        <f>(($G37="LC")*$D$1) + (($G37="FR")*$H$1) + (($G37="SI")*$M$1) + (($G37="O")*$Q$1)</f>
        <v>1</v>
      </c>
    </row>
    <row r="38" spans="2:21" ht="15" customHeight="1">
      <c r="B38" s="567">
        <v>15</v>
      </c>
      <c r="C38" s="569">
        <v>10</v>
      </c>
      <c r="D38" s="573" t="s">
        <v>168</v>
      </c>
      <c r="E38" s="574"/>
      <c r="F38" s="575"/>
      <c r="G38" s="571" t="s">
        <v>164</v>
      </c>
      <c r="H38" s="137"/>
      <c r="J38" s="591">
        <v>50</v>
      </c>
      <c r="K38" s="592"/>
      <c r="L38" s="593"/>
      <c r="M38" s="561">
        <f>(H38*J38)+(H39*J39)</f>
        <v>0</v>
      </c>
      <c r="N38" s="562"/>
      <c r="O38" s="563"/>
      <c r="P38" s="124">
        <v>18</v>
      </c>
      <c r="Q38" s="124">
        <f>P38*H38</f>
        <v>0</v>
      </c>
      <c r="S38" s="125">
        <f>SIGN($H38+$H39)</f>
        <v>0</v>
      </c>
      <c r="U38" s="114">
        <f>(($G38="LC")*$D$1) + (($G38="FR")*$H$1) + (($G38="SI")*$M$1) + (($G38="O")*$Q$1)</f>
        <v>1</v>
      </c>
    </row>
    <row r="39" spans="2:21" ht="15" customHeight="1">
      <c r="B39" s="568"/>
      <c r="C39" s="570"/>
      <c r="D39" s="576" t="s">
        <v>187</v>
      </c>
      <c r="E39" s="577"/>
      <c r="F39" s="578"/>
      <c r="G39" s="572"/>
      <c r="H39" s="138"/>
      <c r="J39" s="594">
        <v>500</v>
      </c>
      <c r="K39" s="595"/>
      <c r="L39" s="596"/>
      <c r="M39" s="564"/>
      <c r="N39" s="565"/>
      <c r="O39" s="566"/>
      <c r="P39" s="126">
        <v>90</v>
      </c>
      <c r="Q39" s="126">
        <f>P39*H39</f>
        <v>0</v>
      </c>
      <c r="S39" s="125">
        <f>S38</f>
        <v>0</v>
      </c>
      <c r="U39" s="114">
        <f>(($G38="LC")*$D$1) + (($G38="FR")*$H$1) + (($G38="SI")*$M$1) + (($G38="O")*$Q$1)</f>
        <v>1</v>
      </c>
    </row>
    <row r="40" spans="2:21" ht="7.5" customHeight="1">
      <c r="G40" s="127" t="str">
        <f>G38</f>
        <v>FR</v>
      </c>
      <c r="U40" s="114">
        <f>(($G40="LC")*$D$1) + (($G40="FR")*$H$1) + (($G40="SI")*$M$1) + (($G40="O")*$Q$1)</f>
        <v>1</v>
      </c>
    </row>
    <row r="41" spans="2:21" ht="15" customHeight="1">
      <c r="B41" s="567">
        <v>15</v>
      </c>
      <c r="C41" s="569">
        <v>10</v>
      </c>
      <c r="D41" s="573" t="s">
        <v>168</v>
      </c>
      <c r="E41" s="574"/>
      <c r="F41" s="575"/>
      <c r="G41" s="571" t="s">
        <v>164</v>
      </c>
      <c r="H41" s="137"/>
      <c r="J41" s="591">
        <v>50</v>
      </c>
      <c r="K41" s="592"/>
      <c r="L41" s="593"/>
      <c r="M41" s="561">
        <f>(H41*J41)+(H42*J42)</f>
        <v>0</v>
      </c>
      <c r="N41" s="562"/>
      <c r="O41" s="563"/>
      <c r="P41" s="124">
        <v>18</v>
      </c>
      <c r="Q41" s="124">
        <f>P41*H41</f>
        <v>0</v>
      </c>
      <c r="S41" s="125">
        <f>SIGN($H41+$H42)</f>
        <v>0</v>
      </c>
      <c r="U41" s="114">
        <f>(($G41="LC")*$D$1) + (($G41="FR")*$H$1) + (($G41="SI")*$M$1) + (($G41="O")*$Q$1)</f>
        <v>1</v>
      </c>
    </row>
    <row r="42" spans="2:21" ht="15" customHeight="1">
      <c r="B42" s="568"/>
      <c r="C42" s="570"/>
      <c r="D42" s="576" t="s">
        <v>188</v>
      </c>
      <c r="E42" s="577"/>
      <c r="F42" s="578"/>
      <c r="G42" s="572"/>
      <c r="H42" s="138"/>
      <c r="J42" s="594">
        <v>500</v>
      </c>
      <c r="K42" s="595"/>
      <c r="L42" s="596"/>
      <c r="M42" s="564"/>
      <c r="N42" s="565"/>
      <c r="O42" s="566"/>
      <c r="P42" s="126">
        <v>90</v>
      </c>
      <c r="Q42" s="126">
        <f>P42*H42</f>
        <v>0</v>
      </c>
      <c r="S42" s="125">
        <f>S41</f>
        <v>0</v>
      </c>
      <c r="U42" s="114">
        <f>(($G41="LC")*$D$1) + (($G41="FR")*$H$1) + (($G41="SI")*$M$1) + (($G41="O")*$Q$1)</f>
        <v>1</v>
      </c>
    </row>
    <row r="43" spans="2:21" ht="7.5" customHeight="1">
      <c r="G43" s="127" t="str">
        <f>G41</f>
        <v>FR</v>
      </c>
      <c r="U43" s="114">
        <f>(($G43="LC")*$D$1) + (($G43="FR")*$H$1) + (($G43="SI")*$M$1) + (($G43="O")*$Q$1)</f>
        <v>1</v>
      </c>
    </row>
    <row r="44" spans="2:21" ht="15" customHeight="1">
      <c r="B44" s="567">
        <v>15</v>
      </c>
      <c r="C44" s="569">
        <v>10</v>
      </c>
      <c r="D44" s="573" t="s">
        <v>168</v>
      </c>
      <c r="E44" s="574"/>
      <c r="F44" s="575"/>
      <c r="G44" s="571" t="s">
        <v>164</v>
      </c>
      <c r="H44" s="137"/>
      <c r="J44" s="591">
        <v>50</v>
      </c>
      <c r="K44" s="592"/>
      <c r="L44" s="593"/>
      <c r="M44" s="561">
        <f>(H44*J44)+(H45*J45)</f>
        <v>0</v>
      </c>
      <c r="N44" s="562"/>
      <c r="O44" s="563"/>
      <c r="P44" s="124">
        <v>18</v>
      </c>
      <c r="Q44" s="124">
        <f>P44*H44</f>
        <v>0</v>
      </c>
      <c r="S44" s="125">
        <f>SIGN($H44+$H45)</f>
        <v>0</v>
      </c>
      <c r="U44" s="114">
        <f>(($G44="LC")*$D$1) + (($G44="FR")*$H$1) + (($G44="SI")*$M$1) + (($G44="O")*$Q$1)</f>
        <v>1</v>
      </c>
    </row>
    <row r="45" spans="2:21" ht="15" customHeight="1">
      <c r="B45" s="568"/>
      <c r="C45" s="570"/>
      <c r="D45" s="576" t="s">
        <v>189</v>
      </c>
      <c r="E45" s="577"/>
      <c r="F45" s="578"/>
      <c r="G45" s="572"/>
      <c r="H45" s="138"/>
      <c r="J45" s="594">
        <v>500</v>
      </c>
      <c r="K45" s="595"/>
      <c r="L45" s="596"/>
      <c r="M45" s="564"/>
      <c r="N45" s="565"/>
      <c r="O45" s="566"/>
      <c r="P45" s="126">
        <v>90</v>
      </c>
      <c r="Q45" s="126">
        <f>P45*H45</f>
        <v>0</v>
      </c>
      <c r="S45" s="125">
        <f>S44</f>
        <v>0</v>
      </c>
      <c r="U45" s="114">
        <f>(($G44="LC")*$D$1) + (($G44="FR")*$H$1) + (($G44="SI")*$M$1) + (($G44="O")*$Q$1)</f>
        <v>1</v>
      </c>
    </row>
    <row r="46" spans="2:21" ht="7.5" customHeight="1">
      <c r="G46" s="127" t="str">
        <f>G44</f>
        <v>FR</v>
      </c>
      <c r="U46" s="114">
        <f>(($G46="LC")*$D$1) + (($G46="FR")*$H$1) + (($G46="SI")*$M$1) + (($G46="O")*$Q$1)</f>
        <v>1</v>
      </c>
    </row>
    <row r="47" spans="2:21" ht="15" customHeight="1">
      <c r="B47" s="567">
        <v>15</v>
      </c>
      <c r="C47" s="569">
        <v>10</v>
      </c>
      <c r="D47" s="573" t="s">
        <v>168</v>
      </c>
      <c r="E47" s="574"/>
      <c r="F47" s="575"/>
      <c r="G47" s="571" t="s">
        <v>164</v>
      </c>
      <c r="H47" s="137"/>
      <c r="J47" s="591">
        <v>50</v>
      </c>
      <c r="K47" s="592"/>
      <c r="L47" s="593"/>
      <c r="M47" s="561">
        <f>(H47*J47)+(H48*J48)</f>
        <v>0</v>
      </c>
      <c r="N47" s="562"/>
      <c r="O47" s="563"/>
      <c r="P47" s="124">
        <v>18</v>
      </c>
      <c r="Q47" s="124">
        <f>P47*H47</f>
        <v>0</v>
      </c>
      <c r="S47" s="125">
        <f>SIGN($H47+$H48)</f>
        <v>0</v>
      </c>
      <c r="U47" s="114">
        <f>(($G47="LC")*$D$1) + (($G47="FR")*$H$1) + (($G47="SI")*$M$1) + (($G47="O")*$Q$1)</f>
        <v>1</v>
      </c>
    </row>
    <row r="48" spans="2:21" ht="15" customHeight="1">
      <c r="B48" s="568"/>
      <c r="C48" s="570"/>
      <c r="D48" s="576" t="s">
        <v>192</v>
      </c>
      <c r="E48" s="577"/>
      <c r="F48" s="578"/>
      <c r="G48" s="572"/>
      <c r="H48" s="138"/>
      <c r="J48" s="594">
        <v>500</v>
      </c>
      <c r="K48" s="595"/>
      <c r="L48" s="596"/>
      <c r="M48" s="564"/>
      <c r="N48" s="565"/>
      <c r="O48" s="566"/>
      <c r="P48" s="126">
        <v>90</v>
      </c>
      <c r="Q48" s="126">
        <f>P48*H48</f>
        <v>0</v>
      </c>
      <c r="S48" s="125">
        <f>S47</f>
        <v>0</v>
      </c>
      <c r="U48" s="114">
        <f>(($G47="LC")*$D$1) + (($G47="FR")*$H$1) + (($G47="SI")*$M$1) + (($G47="O")*$Q$1)</f>
        <v>1</v>
      </c>
    </row>
    <row r="49" spans="2:21" ht="7.5" customHeight="1">
      <c r="G49" s="127" t="str">
        <f>G47</f>
        <v>FR</v>
      </c>
      <c r="U49" s="114">
        <f>(($G49="LC")*$D$1) + (($G49="FR")*$H$1) + (($G49="SI")*$M$1) + (($G49="O")*$Q$1)</f>
        <v>1</v>
      </c>
    </row>
    <row r="50" spans="2:21" ht="15" customHeight="1">
      <c r="B50" s="567">
        <v>15</v>
      </c>
      <c r="C50" s="569">
        <v>10</v>
      </c>
      <c r="D50" s="573" t="s">
        <v>190</v>
      </c>
      <c r="E50" s="574"/>
      <c r="F50" s="575"/>
      <c r="G50" s="571" t="s">
        <v>164</v>
      </c>
      <c r="H50" s="137"/>
      <c r="J50" s="591">
        <v>50</v>
      </c>
      <c r="K50" s="592"/>
      <c r="L50" s="593"/>
      <c r="M50" s="561">
        <f>(H50*J50)+(H51*J51)</f>
        <v>0</v>
      </c>
      <c r="N50" s="562"/>
      <c r="O50" s="563"/>
      <c r="P50" s="124">
        <v>18</v>
      </c>
      <c r="Q50" s="124">
        <f>P50*H50</f>
        <v>0</v>
      </c>
      <c r="S50" s="125">
        <f>SIGN($H50+$H51)</f>
        <v>0</v>
      </c>
      <c r="U50" s="114">
        <f>(($G50="LC")*$D$1) + (($G50="FR")*$H$1) + (($G50="SI")*$M$1) + (($G50="O")*$Q$1)</f>
        <v>1</v>
      </c>
    </row>
    <row r="51" spans="2:21" ht="15" customHeight="1">
      <c r="B51" s="568"/>
      <c r="C51" s="570"/>
      <c r="D51" s="576" t="s">
        <v>198</v>
      </c>
      <c r="E51" s="577"/>
      <c r="F51" s="578"/>
      <c r="G51" s="572"/>
      <c r="H51" s="138"/>
      <c r="J51" s="594">
        <v>500</v>
      </c>
      <c r="K51" s="595"/>
      <c r="L51" s="596"/>
      <c r="M51" s="564"/>
      <c r="N51" s="565"/>
      <c r="O51" s="566"/>
      <c r="P51" s="126">
        <v>90</v>
      </c>
      <c r="Q51" s="126">
        <f>P51*H51</f>
        <v>0</v>
      </c>
      <c r="S51" s="125">
        <f>S50</f>
        <v>0</v>
      </c>
      <c r="U51" s="114">
        <f>(($G50="LC")*$D$1) + (($G50="FR")*$H$1) + (($G50="SI")*$M$1) + (($G50="O")*$Q$1)</f>
        <v>1</v>
      </c>
    </row>
    <row r="52" spans="2:21" ht="7.5" customHeight="1">
      <c r="G52" s="127" t="str">
        <f>G50</f>
        <v>FR</v>
      </c>
      <c r="U52" s="114">
        <f>(($G52="LC")*$D$1) + (($G52="FR")*$H$1) + (($G52="SI")*$M$1) + (($G52="O")*$Q$1)</f>
        <v>1</v>
      </c>
    </row>
    <row r="53" spans="2:21" ht="15" customHeight="1">
      <c r="B53" s="567">
        <v>21</v>
      </c>
      <c r="C53" s="569">
        <v>7</v>
      </c>
      <c r="D53" s="573" t="s">
        <v>168</v>
      </c>
      <c r="E53" s="574"/>
      <c r="F53" s="575"/>
      <c r="G53" s="571" t="s">
        <v>164</v>
      </c>
      <c r="H53" s="137"/>
      <c r="J53" s="591">
        <v>75</v>
      </c>
      <c r="K53" s="592"/>
      <c r="L53" s="593"/>
      <c r="M53" s="561">
        <f>(H53*J53)+(H54*J54)</f>
        <v>0</v>
      </c>
      <c r="N53" s="562"/>
      <c r="O53" s="563"/>
      <c r="P53" s="124">
        <v>14</v>
      </c>
      <c r="Q53" s="124">
        <f>P53*H53</f>
        <v>0</v>
      </c>
      <c r="S53" s="125">
        <f>SIGN($H53+$H54)</f>
        <v>0</v>
      </c>
      <c r="U53" s="114">
        <f>(($G53="LC")*$D$1) + (($G53="FR")*$H$1) + (($G53="SI")*$M$1) + (($G53="O")*$Q$1)</f>
        <v>1</v>
      </c>
    </row>
    <row r="54" spans="2:21" ht="15" customHeight="1">
      <c r="B54" s="568"/>
      <c r="C54" s="570"/>
      <c r="D54" s="576" t="s">
        <v>191</v>
      </c>
      <c r="E54" s="577"/>
      <c r="F54" s="578"/>
      <c r="G54" s="572"/>
      <c r="H54" s="138"/>
      <c r="J54" s="594">
        <v>750</v>
      </c>
      <c r="K54" s="595"/>
      <c r="L54" s="596"/>
      <c r="M54" s="564"/>
      <c r="N54" s="565"/>
      <c r="O54" s="566"/>
      <c r="P54" s="126">
        <v>70</v>
      </c>
      <c r="Q54" s="126">
        <f>P54*H54</f>
        <v>0</v>
      </c>
      <c r="S54" s="125">
        <f>S53</f>
        <v>0</v>
      </c>
      <c r="U54" s="114">
        <f>(($G53="LC")*$D$1) + (($G53="FR")*$H$1) + (($G53="SI")*$M$1) + (($G53="O")*$Q$1)</f>
        <v>1</v>
      </c>
    </row>
    <row r="55" spans="2:21" ht="7.5" customHeight="1">
      <c r="G55" s="127" t="str">
        <f>G53</f>
        <v>FR</v>
      </c>
      <c r="J55" s="128"/>
      <c r="K55" s="128"/>
      <c r="U55" s="114">
        <f>(($G55="LC")*$D$1) + (($G55="FR")*$H$1) + (($G55="SI")*$M$1) + (($G55="O")*$Q$1)</f>
        <v>1</v>
      </c>
    </row>
    <row r="56" spans="2:21" ht="15" customHeight="1">
      <c r="B56" s="581" t="s">
        <v>197</v>
      </c>
      <c r="C56" s="582"/>
      <c r="D56" s="129" t="s">
        <v>169</v>
      </c>
      <c r="E56" s="130"/>
      <c r="F56" s="131"/>
      <c r="G56" s="585" t="s">
        <v>165</v>
      </c>
      <c r="H56" s="137"/>
      <c r="J56" s="597">
        <v>1000</v>
      </c>
      <c r="K56" s="598"/>
      <c r="L56" s="599"/>
      <c r="M56" s="561">
        <f>(H56*J56)+(H57*J57)</f>
        <v>0</v>
      </c>
      <c r="N56" s="562"/>
      <c r="O56" s="563"/>
      <c r="P56" s="124">
        <v>8</v>
      </c>
      <c r="Q56" s="124">
        <f>P56*H56</f>
        <v>0</v>
      </c>
      <c r="S56" s="125">
        <f>SIGN($H56+$H57)</f>
        <v>0</v>
      </c>
      <c r="U56" s="114">
        <f>(($G56="LC")*$D$1) + (($G56="FR")*$H$1) + (($G56="SI")*$M$1) + (($G56="O")*$Q$1)</f>
        <v>1</v>
      </c>
    </row>
    <row r="57" spans="2:21" ht="15" customHeight="1">
      <c r="B57" s="583"/>
      <c r="C57" s="584"/>
      <c r="D57" s="132" t="s">
        <v>172</v>
      </c>
      <c r="E57" s="133"/>
      <c r="F57" s="134"/>
      <c r="G57" s="586"/>
      <c r="H57" s="138"/>
      <c r="J57" s="600">
        <v>10000</v>
      </c>
      <c r="K57" s="601"/>
      <c r="L57" s="602"/>
      <c r="M57" s="564"/>
      <c r="N57" s="565"/>
      <c r="O57" s="566"/>
      <c r="P57" s="126">
        <v>40</v>
      </c>
      <c r="Q57" s="126">
        <f>P57*H57</f>
        <v>0</v>
      </c>
      <c r="S57" s="125">
        <f>S56</f>
        <v>0</v>
      </c>
      <c r="U57" s="114">
        <f>(($G56="LC")*$D$1) + (($G56="FR")*$H$1) + (($G56="SI")*$M$1) + (($G56="O")*$Q$1)</f>
        <v>1</v>
      </c>
    </row>
    <row r="58" spans="2:21" ht="7.5" customHeight="1">
      <c r="B58" s="135"/>
      <c r="C58" s="135"/>
      <c r="D58" s="135"/>
      <c r="E58" s="135"/>
      <c r="G58" s="127" t="str">
        <f>G56</f>
        <v>SI</v>
      </c>
      <c r="U58" s="114">
        <f>(($G58="LC")*$D$1) + (($G58="FR")*$H$1) + (($G58="SI")*$M$1) + (($G58="O")*$Q$1)</f>
        <v>1</v>
      </c>
    </row>
    <row r="59" spans="2:21" ht="15" customHeight="1">
      <c r="B59" s="581" t="s">
        <v>197</v>
      </c>
      <c r="C59" s="582"/>
      <c r="D59" s="129" t="s">
        <v>169</v>
      </c>
      <c r="E59" s="130"/>
      <c r="F59" s="131"/>
      <c r="G59" s="585" t="s">
        <v>165</v>
      </c>
      <c r="H59" s="137"/>
      <c r="J59" s="597">
        <v>1000</v>
      </c>
      <c r="K59" s="598"/>
      <c r="L59" s="599"/>
      <c r="M59" s="561">
        <f>(H59*J59)+(H60*J60)</f>
        <v>0</v>
      </c>
      <c r="N59" s="562"/>
      <c r="O59" s="563"/>
      <c r="P59" s="124">
        <v>8</v>
      </c>
      <c r="Q59" s="124">
        <f>P59*H59</f>
        <v>0</v>
      </c>
      <c r="S59" s="125">
        <f>SIGN($H59+$H60)</f>
        <v>0</v>
      </c>
      <c r="U59" s="114">
        <f>(($G59="LC")*$D$1) + (($G59="FR")*$H$1) + (($G59="SI")*$M$1) + (($G59="O")*$Q$1)</f>
        <v>1</v>
      </c>
    </row>
    <row r="60" spans="2:21" ht="15" customHeight="1">
      <c r="B60" s="583"/>
      <c r="C60" s="584"/>
      <c r="D60" s="132" t="s">
        <v>171</v>
      </c>
      <c r="E60" s="133"/>
      <c r="F60" s="134"/>
      <c r="G60" s="586"/>
      <c r="H60" s="138"/>
      <c r="J60" s="600">
        <v>10000</v>
      </c>
      <c r="K60" s="601"/>
      <c r="L60" s="602"/>
      <c r="M60" s="564"/>
      <c r="N60" s="565"/>
      <c r="O60" s="566"/>
      <c r="P60" s="126">
        <v>40</v>
      </c>
      <c r="Q60" s="126">
        <f>P60*H60</f>
        <v>0</v>
      </c>
      <c r="S60" s="125">
        <f>S59</f>
        <v>0</v>
      </c>
      <c r="U60" s="114">
        <f>(($G59="LC")*$D$1) + (($G59="FR")*$H$1) + (($G59="SI")*$M$1) + (($G59="O")*$Q$1)</f>
        <v>1</v>
      </c>
    </row>
    <row r="61" spans="2:21" ht="7.5" customHeight="1">
      <c r="B61" s="135"/>
      <c r="C61" s="135"/>
      <c r="D61" s="135"/>
      <c r="E61" s="135"/>
      <c r="G61" s="127" t="str">
        <f>G59</f>
        <v>SI</v>
      </c>
      <c r="U61" s="114">
        <f>(($G61="LC")*$D$1) + (($G61="FR")*$H$1) + (($G61="SI")*$M$1) + (($G61="O")*$Q$1)</f>
        <v>1</v>
      </c>
    </row>
    <row r="62" spans="2:21" ht="15" customHeight="1">
      <c r="B62" s="581" t="s">
        <v>197</v>
      </c>
      <c r="C62" s="582"/>
      <c r="D62" s="129" t="s">
        <v>169</v>
      </c>
      <c r="E62" s="130"/>
      <c r="F62" s="131"/>
      <c r="G62" s="585" t="s">
        <v>165</v>
      </c>
      <c r="H62" s="137"/>
      <c r="J62" s="597">
        <v>1000</v>
      </c>
      <c r="K62" s="598"/>
      <c r="L62" s="599"/>
      <c r="M62" s="561">
        <f>(H62*J62)+(H63*J63)</f>
        <v>0</v>
      </c>
      <c r="N62" s="562"/>
      <c r="O62" s="563"/>
      <c r="P62" s="124">
        <v>8</v>
      </c>
      <c r="Q62" s="124">
        <f>P62*H62</f>
        <v>0</v>
      </c>
      <c r="S62" s="125">
        <f>SIGN($H62+$H63)</f>
        <v>0</v>
      </c>
      <c r="U62" s="114">
        <f>(($G62="LC")*$D$1) + (($G62="FR")*$H$1) + (($G62="SI")*$M$1) + (($G62="O")*$Q$1)</f>
        <v>1</v>
      </c>
    </row>
    <row r="63" spans="2:21" ht="15" customHeight="1">
      <c r="B63" s="583"/>
      <c r="C63" s="584"/>
      <c r="D63" s="132" t="s">
        <v>173</v>
      </c>
      <c r="E63" s="133"/>
      <c r="F63" s="134"/>
      <c r="G63" s="586"/>
      <c r="H63" s="138"/>
      <c r="J63" s="600">
        <v>10000</v>
      </c>
      <c r="K63" s="601"/>
      <c r="L63" s="602"/>
      <c r="M63" s="564"/>
      <c r="N63" s="565"/>
      <c r="O63" s="566"/>
      <c r="P63" s="126">
        <v>40</v>
      </c>
      <c r="Q63" s="126">
        <f>P63*H63</f>
        <v>0</v>
      </c>
      <c r="S63" s="125">
        <f>S62</f>
        <v>0</v>
      </c>
      <c r="U63" s="114">
        <f>(($G62="LC")*$D$1) + (($G62="FR")*$H$1) + (($G62="SI")*$M$1) + (($G62="O")*$Q$1)</f>
        <v>1</v>
      </c>
    </row>
    <row r="64" spans="2:21" ht="7.5" customHeight="1">
      <c r="B64" s="135"/>
      <c r="C64" s="135"/>
      <c r="D64" s="135"/>
      <c r="E64" s="135"/>
      <c r="G64" s="127" t="str">
        <f>G62</f>
        <v>SI</v>
      </c>
      <c r="U64" s="114">
        <f>(($G64="LC")*$D$1) + (($G64="FR")*$H$1) + (($G64="SI")*$M$1) + (($G64="O")*$Q$1)</f>
        <v>1</v>
      </c>
    </row>
    <row r="65" spans="2:21" ht="15" customHeight="1">
      <c r="B65" s="581" t="s">
        <v>197</v>
      </c>
      <c r="C65" s="582"/>
      <c r="D65" s="129" t="s">
        <v>169</v>
      </c>
      <c r="E65" s="130"/>
      <c r="F65" s="131"/>
      <c r="G65" s="585" t="s">
        <v>165</v>
      </c>
      <c r="H65" s="137"/>
      <c r="J65" s="597">
        <v>1000</v>
      </c>
      <c r="K65" s="598"/>
      <c r="L65" s="599"/>
      <c r="M65" s="561">
        <f>(H65*J65)+(H66*J66)</f>
        <v>0</v>
      </c>
      <c r="N65" s="562"/>
      <c r="O65" s="563"/>
      <c r="P65" s="124">
        <v>8</v>
      </c>
      <c r="Q65" s="124">
        <f>P65*H65</f>
        <v>0</v>
      </c>
      <c r="S65" s="125">
        <f>SIGN($H65+$H66)</f>
        <v>0</v>
      </c>
      <c r="U65" s="114">
        <f>(($G65="LC")*$D$1) + (($G65="FR")*$H$1) + (($G65="SI")*$M$1) + (($G65="O")*$Q$1)</f>
        <v>1</v>
      </c>
    </row>
    <row r="66" spans="2:21" ht="15" customHeight="1">
      <c r="B66" s="583"/>
      <c r="C66" s="584"/>
      <c r="D66" s="132" t="s">
        <v>174</v>
      </c>
      <c r="E66" s="133"/>
      <c r="F66" s="134"/>
      <c r="G66" s="586"/>
      <c r="H66" s="138"/>
      <c r="J66" s="600">
        <v>10000</v>
      </c>
      <c r="K66" s="601"/>
      <c r="L66" s="602"/>
      <c r="M66" s="564"/>
      <c r="N66" s="565"/>
      <c r="O66" s="566"/>
      <c r="P66" s="126">
        <v>40</v>
      </c>
      <c r="Q66" s="126">
        <f>P66*H66</f>
        <v>0</v>
      </c>
      <c r="S66" s="125">
        <f>S65</f>
        <v>0</v>
      </c>
      <c r="U66" s="114">
        <f>(($G65="LC")*$D$1) + (($G65="FR")*$H$1) + (($G65="SI")*$M$1) + (($G65="O")*$Q$1)</f>
        <v>1</v>
      </c>
    </row>
    <row r="67" spans="2:21" ht="7.5" customHeight="1">
      <c r="B67" s="135"/>
      <c r="C67" s="135"/>
      <c r="D67" s="135"/>
      <c r="E67" s="135"/>
      <c r="G67" s="127" t="str">
        <f>G65</f>
        <v>SI</v>
      </c>
      <c r="U67" s="114">
        <f>(($G67="LC")*$D$1) + (($G67="FR")*$H$1) + (($G67="SI")*$M$1) + (($G67="O")*$Q$1)</f>
        <v>1</v>
      </c>
    </row>
    <row r="68" spans="2:21" ht="15" customHeight="1">
      <c r="B68" s="581" t="s">
        <v>197</v>
      </c>
      <c r="C68" s="582"/>
      <c r="D68" s="129" t="s">
        <v>169</v>
      </c>
      <c r="E68" s="130"/>
      <c r="F68" s="131"/>
      <c r="G68" s="585" t="s">
        <v>165</v>
      </c>
      <c r="H68" s="137"/>
      <c r="J68" s="597">
        <v>1000</v>
      </c>
      <c r="K68" s="598"/>
      <c r="L68" s="599"/>
      <c r="M68" s="561">
        <f>(H68*J68)+(H69*J69)</f>
        <v>0</v>
      </c>
      <c r="N68" s="562"/>
      <c r="O68" s="563"/>
      <c r="P68" s="124">
        <v>8</v>
      </c>
      <c r="Q68" s="124">
        <f>P68*H68</f>
        <v>0</v>
      </c>
      <c r="S68" s="125">
        <f>SIGN($H68+$H69)</f>
        <v>0</v>
      </c>
      <c r="U68" s="114">
        <f>(($G68="LC")*$D$1) + (($G68="FR")*$H$1) + (($G68="SI")*$M$1) + (($G68="O")*$Q$1)</f>
        <v>1</v>
      </c>
    </row>
    <row r="69" spans="2:21" ht="15" customHeight="1">
      <c r="B69" s="583"/>
      <c r="C69" s="584"/>
      <c r="D69" s="132" t="s">
        <v>175</v>
      </c>
      <c r="E69" s="133"/>
      <c r="F69" s="134"/>
      <c r="G69" s="586"/>
      <c r="H69" s="138"/>
      <c r="J69" s="600">
        <v>10000</v>
      </c>
      <c r="K69" s="601"/>
      <c r="L69" s="602"/>
      <c r="M69" s="564"/>
      <c r="N69" s="565"/>
      <c r="O69" s="566"/>
      <c r="P69" s="126">
        <v>40</v>
      </c>
      <c r="Q69" s="126">
        <f>P69*H69</f>
        <v>0</v>
      </c>
      <c r="S69" s="125">
        <f>S68</f>
        <v>0</v>
      </c>
      <c r="U69" s="114">
        <f>(($G68="LC")*$D$1) + (($G68="FR")*$H$1) + (($G68="SI")*$M$1) + (($G68="O")*$Q$1)</f>
        <v>1</v>
      </c>
    </row>
    <row r="70" spans="2:21" ht="7.5" customHeight="1">
      <c r="B70" s="135"/>
      <c r="C70" s="135"/>
      <c r="D70" s="135"/>
      <c r="E70" s="135"/>
      <c r="G70" s="127" t="str">
        <f>G68</f>
        <v>SI</v>
      </c>
      <c r="U70" s="114">
        <f>(($G70="LC")*$D$1) + (($G70="FR")*$H$1) + (($G70="SI")*$M$1) + (($G70="O")*$Q$1)</f>
        <v>1</v>
      </c>
    </row>
    <row r="71" spans="2:21" ht="15" customHeight="1">
      <c r="B71" s="581" t="s">
        <v>197</v>
      </c>
      <c r="C71" s="582"/>
      <c r="D71" s="129" t="s">
        <v>169</v>
      </c>
      <c r="E71" s="130"/>
      <c r="F71" s="131"/>
      <c r="G71" s="585" t="s">
        <v>165</v>
      </c>
      <c r="H71" s="137"/>
      <c r="J71" s="597">
        <v>1000</v>
      </c>
      <c r="K71" s="598"/>
      <c r="L71" s="599"/>
      <c r="M71" s="561">
        <f>(H71*J71)+(H72*J72)</f>
        <v>0</v>
      </c>
      <c r="N71" s="562"/>
      <c r="O71" s="563"/>
      <c r="P71" s="124">
        <v>8</v>
      </c>
      <c r="Q71" s="124">
        <f>P71*H71</f>
        <v>0</v>
      </c>
      <c r="S71" s="125">
        <f>SIGN($H71+$H72)</f>
        <v>0</v>
      </c>
      <c r="U71" s="114">
        <f>(($G71="LC")*$D$1) + (($G71="FR")*$H$1) + (($G71="SI")*$M$1) + (($G71="O")*$Q$1)</f>
        <v>1</v>
      </c>
    </row>
    <row r="72" spans="2:21" ht="15" customHeight="1">
      <c r="B72" s="583"/>
      <c r="C72" s="584"/>
      <c r="D72" s="132" t="s">
        <v>176</v>
      </c>
      <c r="E72" s="133"/>
      <c r="F72" s="134"/>
      <c r="G72" s="586"/>
      <c r="H72" s="138"/>
      <c r="J72" s="600">
        <v>10000</v>
      </c>
      <c r="K72" s="601"/>
      <c r="L72" s="602"/>
      <c r="M72" s="564"/>
      <c r="N72" s="565"/>
      <c r="O72" s="566"/>
      <c r="P72" s="126">
        <v>40</v>
      </c>
      <c r="Q72" s="126">
        <f>P72*H72</f>
        <v>0</v>
      </c>
      <c r="S72" s="125">
        <f>S71</f>
        <v>0</v>
      </c>
      <c r="U72" s="114">
        <f>(($G71="LC")*$D$1) + (($G71="FR")*$H$1) + (($G71="SI")*$M$1) + (($G71="O")*$Q$1)</f>
        <v>1</v>
      </c>
    </row>
    <row r="73" spans="2:21" ht="7.5" customHeight="1">
      <c r="G73" s="127" t="str">
        <f>G71</f>
        <v>SI</v>
      </c>
      <c r="U73" s="114">
        <f>(($G73="LC")*$D$1) + (($G73="FR")*$H$1) + (($G73="SI")*$M$1) + (($G73="O")*$Q$1)</f>
        <v>1</v>
      </c>
    </row>
    <row r="74" spans="2:21" ht="15" hidden="1" customHeight="1"/>
    <row r="75" spans="2:21" ht="15" hidden="1" customHeight="1"/>
    <row r="76" spans="2:21" ht="26.25" hidden="1" customHeight="1">
      <c r="E76" s="136"/>
    </row>
  </sheetData>
  <sheetProtection sheet="1" objects="1" scenarios="1"/>
  <autoFilter ref="A10:U76" xr:uid="{CFC3F2BC-FCC0-404D-9E72-E41817BEABC6}">
    <filterColumn colId="1" showButton="0"/>
    <filterColumn colId="3" showButton="0"/>
    <filterColumn colId="4" showButton="0"/>
    <filterColumn colId="9" showButton="0"/>
    <filterColumn colId="10" showButton="0"/>
    <filterColumn colId="12" showButton="0"/>
    <filterColumn colId="13" showButton="0"/>
    <filterColumn colId="20">
      <filters>
        <filter val="1"/>
      </filters>
    </filterColumn>
  </autoFilter>
  <mergeCells count="176">
    <mergeCell ref="B1:C1"/>
    <mergeCell ref="O6:Q6"/>
    <mergeCell ref="B6:D6"/>
    <mergeCell ref="F4:J4"/>
    <mergeCell ref="F5:J5"/>
    <mergeCell ref="F6:J6"/>
    <mergeCell ref="L4:M4"/>
    <mergeCell ref="L5:M5"/>
    <mergeCell ref="L6:M6"/>
    <mergeCell ref="L3:M3"/>
    <mergeCell ref="O3:Q3"/>
    <mergeCell ref="B4:D4"/>
    <mergeCell ref="B5:D5"/>
    <mergeCell ref="O4:Q4"/>
    <mergeCell ref="O5:Q5"/>
    <mergeCell ref="C3:D3"/>
    <mergeCell ref="G3:J3"/>
    <mergeCell ref="M65:O66"/>
    <mergeCell ref="M68:O69"/>
    <mergeCell ref="M71:O72"/>
    <mergeCell ref="B7:D7"/>
    <mergeCell ref="F7:J7"/>
    <mergeCell ref="L7:M7"/>
    <mergeCell ref="O7:Q7"/>
    <mergeCell ref="M44:O45"/>
    <mergeCell ref="M47:O48"/>
    <mergeCell ref="M50:O51"/>
    <mergeCell ref="M53:O54"/>
    <mergeCell ref="M56:O57"/>
    <mergeCell ref="M59:O60"/>
    <mergeCell ref="M29:O30"/>
    <mergeCell ref="M32:O33"/>
    <mergeCell ref="M35:O36"/>
    <mergeCell ref="M38:O39"/>
    <mergeCell ref="M41:O42"/>
    <mergeCell ref="J68:L68"/>
    <mergeCell ref="J69:L69"/>
    <mergeCell ref="J71:L71"/>
    <mergeCell ref="J72:L72"/>
    <mergeCell ref="M11:O12"/>
    <mergeCell ref="M14:O15"/>
    <mergeCell ref="M20:O21"/>
    <mergeCell ref="M23:O24"/>
    <mergeCell ref="M26:O27"/>
    <mergeCell ref="J59:L59"/>
    <mergeCell ref="J60:L60"/>
    <mergeCell ref="J62:L62"/>
    <mergeCell ref="J63:L63"/>
    <mergeCell ref="J32:L32"/>
    <mergeCell ref="J33:L33"/>
    <mergeCell ref="J35:L35"/>
    <mergeCell ref="J36:L36"/>
    <mergeCell ref="J38:L38"/>
    <mergeCell ref="J39:L39"/>
    <mergeCell ref="J23:L23"/>
    <mergeCell ref="J24:L24"/>
    <mergeCell ref="J26:L26"/>
    <mergeCell ref="J27:L27"/>
    <mergeCell ref="J29:L29"/>
    <mergeCell ref="J30:L30"/>
    <mergeCell ref="M62:O63"/>
    <mergeCell ref="J65:L65"/>
    <mergeCell ref="J66:L66"/>
    <mergeCell ref="J47:L47"/>
    <mergeCell ref="J48:L48"/>
    <mergeCell ref="J50:L50"/>
    <mergeCell ref="J51:L51"/>
    <mergeCell ref="J53:L53"/>
    <mergeCell ref="J54:L54"/>
    <mergeCell ref="J41:L41"/>
    <mergeCell ref="J42:L42"/>
    <mergeCell ref="J44:L44"/>
    <mergeCell ref="J45:L45"/>
    <mergeCell ref="J56:L56"/>
    <mergeCell ref="J57:L57"/>
    <mergeCell ref="D30:F30"/>
    <mergeCell ref="J10:L10"/>
    <mergeCell ref="J11:L11"/>
    <mergeCell ref="J12:L12"/>
    <mergeCell ref="J14:L14"/>
    <mergeCell ref="J15:L15"/>
    <mergeCell ref="J17:L17"/>
    <mergeCell ref="J18:L18"/>
    <mergeCell ref="J20:L20"/>
    <mergeCell ref="J21:L21"/>
    <mergeCell ref="B71:C72"/>
    <mergeCell ref="G71:G72"/>
    <mergeCell ref="D10:F10"/>
    <mergeCell ref="D11:F11"/>
    <mergeCell ref="D12:F12"/>
    <mergeCell ref="D14:F14"/>
    <mergeCell ref="D15:F15"/>
    <mergeCell ref="D17:F17"/>
    <mergeCell ref="D18:F18"/>
    <mergeCell ref="G68:G69"/>
    <mergeCell ref="B56:C57"/>
    <mergeCell ref="B59:C60"/>
    <mergeCell ref="B62:C63"/>
    <mergeCell ref="B65:C66"/>
    <mergeCell ref="B68:C69"/>
    <mergeCell ref="G62:G63"/>
    <mergeCell ref="G65:G66"/>
    <mergeCell ref="G56:G57"/>
    <mergeCell ref="G59:G60"/>
    <mergeCell ref="B50:B51"/>
    <mergeCell ref="C50:C51"/>
    <mergeCell ref="G50:G51"/>
    <mergeCell ref="B53:B54"/>
    <mergeCell ref="D29:F29"/>
    <mergeCell ref="C53:C54"/>
    <mergeCell ref="G53:G54"/>
    <mergeCell ref="D50:F50"/>
    <mergeCell ref="D53:F53"/>
    <mergeCell ref="B44:B45"/>
    <mergeCell ref="C44:C45"/>
    <mergeCell ref="G44:G45"/>
    <mergeCell ref="B47:B48"/>
    <mergeCell ref="C47:C48"/>
    <mergeCell ref="G47:G48"/>
    <mergeCell ref="D44:F44"/>
    <mergeCell ref="D47:F47"/>
    <mergeCell ref="D45:F45"/>
    <mergeCell ref="D48:F48"/>
    <mergeCell ref="D51:F51"/>
    <mergeCell ref="D54:F54"/>
    <mergeCell ref="B41:B42"/>
    <mergeCell ref="C41:C42"/>
    <mergeCell ref="G41:G42"/>
    <mergeCell ref="D41:F41"/>
    <mergeCell ref="B35:B36"/>
    <mergeCell ref="C35:C36"/>
    <mergeCell ref="G35:G36"/>
    <mergeCell ref="B38:B39"/>
    <mergeCell ref="C38:C39"/>
    <mergeCell ref="G38:G39"/>
    <mergeCell ref="D35:F35"/>
    <mergeCell ref="D38:F38"/>
    <mergeCell ref="D42:F42"/>
    <mergeCell ref="D36:F36"/>
    <mergeCell ref="D39:F39"/>
    <mergeCell ref="B23:B24"/>
    <mergeCell ref="C23:C24"/>
    <mergeCell ref="G17:G18"/>
    <mergeCell ref="B20:B21"/>
    <mergeCell ref="C20:C21"/>
    <mergeCell ref="B29:B30"/>
    <mergeCell ref="C29:C30"/>
    <mergeCell ref="G29:G30"/>
    <mergeCell ref="B32:B33"/>
    <mergeCell ref="C32:C33"/>
    <mergeCell ref="G32:G33"/>
    <mergeCell ref="D32:F32"/>
    <mergeCell ref="D33:F33"/>
    <mergeCell ref="G20:G21"/>
    <mergeCell ref="G23:G24"/>
    <mergeCell ref="B26:B27"/>
    <mergeCell ref="C26:C27"/>
    <mergeCell ref="G26:G27"/>
    <mergeCell ref="D20:F20"/>
    <mergeCell ref="D21:F21"/>
    <mergeCell ref="D23:F23"/>
    <mergeCell ref="D24:F24"/>
    <mergeCell ref="D26:F26"/>
    <mergeCell ref="D27:F27"/>
    <mergeCell ref="L9:M9"/>
    <mergeCell ref="M10:O10"/>
    <mergeCell ref="B10:C10"/>
    <mergeCell ref="B11:B12"/>
    <mergeCell ref="C11:C12"/>
    <mergeCell ref="B14:B15"/>
    <mergeCell ref="C14:C15"/>
    <mergeCell ref="B17:B18"/>
    <mergeCell ref="C17:C18"/>
    <mergeCell ref="G11:G12"/>
    <mergeCell ref="G14:G15"/>
    <mergeCell ref="M17:O18"/>
  </mergeCells>
  <conditionalFormatting sqref="B1">
    <cfRule type="expression" dxfId="59" priority="1">
      <formula>$D1&gt;0</formula>
    </cfRule>
  </conditionalFormatting>
  <conditionalFormatting sqref="B56">
    <cfRule type="expression" dxfId="58" priority="99">
      <formula>$S56=1</formula>
    </cfRule>
  </conditionalFormatting>
  <conditionalFormatting sqref="B59">
    <cfRule type="expression" dxfId="57" priority="7">
      <formula>$S59=1</formula>
    </cfRule>
  </conditionalFormatting>
  <conditionalFormatting sqref="B62">
    <cfRule type="expression" dxfId="56" priority="6">
      <formula>$S62=1</formula>
    </cfRule>
  </conditionalFormatting>
  <conditionalFormatting sqref="B65">
    <cfRule type="expression" dxfId="55" priority="5">
      <formula>$S65=1</formula>
    </cfRule>
  </conditionalFormatting>
  <conditionalFormatting sqref="B68">
    <cfRule type="expression" dxfId="54" priority="4">
      <formula>$S68=1</formula>
    </cfRule>
  </conditionalFormatting>
  <conditionalFormatting sqref="B71">
    <cfRule type="expression" dxfId="53" priority="3">
      <formula>$S71=1</formula>
    </cfRule>
  </conditionalFormatting>
  <conditionalFormatting sqref="B11:D12">
    <cfRule type="expression" dxfId="52" priority="132">
      <formula>$S11=1</formula>
    </cfRule>
  </conditionalFormatting>
  <conditionalFormatting sqref="B14:D15">
    <cfRule type="expression" dxfId="51" priority="44">
      <formula>$S14=1</formula>
    </cfRule>
  </conditionalFormatting>
  <conditionalFormatting sqref="B17:D18">
    <cfRule type="expression" dxfId="50" priority="43">
      <formula>$S17=1</formula>
    </cfRule>
  </conditionalFormatting>
  <conditionalFormatting sqref="B20:D21">
    <cfRule type="expression" dxfId="49" priority="126">
      <formula>$S20=1</formula>
    </cfRule>
  </conditionalFormatting>
  <conditionalFormatting sqref="B23:D24">
    <cfRule type="expression" dxfId="48" priority="61">
      <formula>$S23=1</formula>
    </cfRule>
  </conditionalFormatting>
  <conditionalFormatting sqref="B26:D27">
    <cfRule type="expression" dxfId="47" priority="67">
      <formula>$S26=1</formula>
    </cfRule>
  </conditionalFormatting>
  <conditionalFormatting sqref="B29:D30">
    <cfRule type="expression" dxfId="46" priority="65">
      <formula>$S29=1</formula>
    </cfRule>
  </conditionalFormatting>
  <conditionalFormatting sqref="B32:D33">
    <cfRule type="expression" dxfId="45" priority="59">
      <formula>$S32=1</formula>
    </cfRule>
  </conditionalFormatting>
  <conditionalFormatting sqref="B35:D36">
    <cfRule type="expression" dxfId="44" priority="42">
      <formula>$S35=1</formula>
    </cfRule>
  </conditionalFormatting>
  <conditionalFormatting sqref="B38:D39">
    <cfRule type="expression" dxfId="43" priority="41">
      <formula>$S38=1</formula>
    </cfRule>
  </conditionalFormatting>
  <conditionalFormatting sqref="B41:D42">
    <cfRule type="expression" dxfId="42" priority="40">
      <formula>$S41=1</formula>
    </cfRule>
  </conditionalFormatting>
  <conditionalFormatting sqref="B44:D45">
    <cfRule type="expression" dxfId="41" priority="38">
      <formula>$S44=1</formula>
    </cfRule>
  </conditionalFormatting>
  <conditionalFormatting sqref="B47:D48">
    <cfRule type="expression" dxfId="40" priority="37">
      <formula>$S47=1</formula>
    </cfRule>
  </conditionalFormatting>
  <conditionalFormatting sqref="B50:D51">
    <cfRule type="expression" dxfId="39" priority="36">
      <formula>$S50=1</formula>
    </cfRule>
  </conditionalFormatting>
  <conditionalFormatting sqref="B53:D54">
    <cfRule type="expression" dxfId="38" priority="35">
      <formula>$S53=1</formula>
    </cfRule>
  </conditionalFormatting>
  <conditionalFormatting sqref="B7:O7">
    <cfRule type="cellIs" dxfId="37" priority="8" operator="equal">
      <formula>"Selecionado"</formula>
    </cfRule>
  </conditionalFormatting>
  <conditionalFormatting sqref="D56:D57">
    <cfRule type="expression" dxfId="36" priority="79">
      <formula>$S56=1</formula>
    </cfRule>
  </conditionalFormatting>
  <conditionalFormatting sqref="D59:D60">
    <cfRule type="expression" dxfId="35" priority="34">
      <formula>$S59=1</formula>
    </cfRule>
  </conditionalFormatting>
  <conditionalFormatting sqref="D62:D63">
    <cfRule type="expression" dxfId="34" priority="33">
      <formula>$S62=1</formula>
    </cfRule>
  </conditionalFormatting>
  <conditionalFormatting sqref="D65:D66">
    <cfRule type="expression" dxfId="33" priority="32">
      <formula>$S65=1</formula>
    </cfRule>
  </conditionalFormatting>
  <conditionalFormatting sqref="D68:D69">
    <cfRule type="expression" dxfId="32" priority="31">
      <formula>$S68=1</formula>
    </cfRule>
  </conditionalFormatting>
  <conditionalFormatting sqref="D71:D72">
    <cfRule type="expression" dxfId="31" priority="30">
      <formula>$S71=1</formula>
    </cfRule>
  </conditionalFormatting>
  <conditionalFormatting sqref="L9">
    <cfRule type="cellIs" dxfId="30" priority="2" operator="equal">
      <formula>0</formula>
    </cfRule>
  </conditionalFormatting>
  <conditionalFormatting sqref="M11 H11:H12 J11:J12 P11:Q12 H14:H15 J14:J15 P14:Q15 H17:H18 J17:J18 P17:Q18 H20:H21 J20:J21 P20:Q21 H23:H24 J23:J24 P23:Q24 H26:H27 J26:J27 P26:Q27 H29:H30 J29:J30 P29:Q30 H32:H33 J32:J33 P32:Q33 H35:H36 J35:J36 P35:Q36 H38:H39 J38:J39 P38:Q39 H41:H42 J41:J42 P41:Q42 H44:H45 J44:J45 P44:Q45 H47:H48 J47:J48 P47:Q48 H50:H51 J50:J51 P50:Q51 H53:H54 J53:J54 P53:Q54 H56:H57 J56:J57 P56:Q57 H59:H60 J59:J60 P59:Q60 H62:H63 J62:J63 P62:Q63 H65:H66 J65:J66 P65:Q66 H68:H69 J68:J69 P68:Q69 H71:H72 J71:J72 P71:Q72">
    <cfRule type="expression" dxfId="29" priority="149">
      <formula>$S11=1</formula>
    </cfRule>
  </conditionalFormatting>
  <conditionalFormatting sqref="M14">
    <cfRule type="expression" dxfId="28" priority="29">
      <formula>$S14=1</formula>
    </cfRule>
  </conditionalFormatting>
  <conditionalFormatting sqref="M17">
    <cfRule type="expression" dxfId="27" priority="28">
      <formula>$S17=1</formula>
    </cfRule>
  </conditionalFormatting>
  <conditionalFormatting sqref="M20">
    <cfRule type="expression" dxfId="26" priority="27">
      <formula>$S20=1</formula>
    </cfRule>
  </conditionalFormatting>
  <conditionalFormatting sqref="M23">
    <cfRule type="expression" dxfId="25" priority="26">
      <formula>$S23=1</formula>
    </cfRule>
  </conditionalFormatting>
  <conditionalFormatting sqref="M26">
    <cfRule type="expression" dxfId="24" priority="25">
      <formula>$S26=1</formula>
    </cfRule>
  </conditionalFormatting>
  <conditionalFormatting sqref="M29">
    <cfRule type="expression" dxfId="23" priority="24">
      <formula>$S29=1</formula>
    </cfRule>
  </conditionalFormatting>
  <conditionalFormatting sqref="M32">
    <cfRule type="expression" dxfId="22" priority="23">
      <formula>$S32=1</formula>
    </cfRule>
  </conditionalFormatting>
  <conditionalFormatting sqref="M35">
    <cfRule type="expression" dxfId="21" priority="22">
      <formula>$S35=1</formula>
    </cfRule>
  </conditionalFormatting>
  <conditionalFormatting sqref="M38">
    <cfRule type="expression" dxfId="20" priority="21">
      <formula>$S38=1</formula>
    </cfRule>
  </conditionalFormatting>
  <conditionalFormatting sqref="M41">
    <cfRule type="expression" dxfId="19" priority="20">
      <formula>$S41=1</formula>
    </cfRule>
  </conditionalFormatting>
  <conditionalFormatting sqref="M44">
    <cfRule type="expression" dxfId="18" priority="18">
      <formula>$S44=1</formula>
    </cfRule>
  </conditionalFormatting>
  <conditionalFormatting sqref="M47">
    <cfRule type="expression" dxfId="17" priority="17">
      <formula>$S47=1</formula>
    </cfRule>
  </conditionalFormatting>
  <conditionalFormatting sqref="M50">
    <cfRule type="expression" dxfId="16" priority="16">
      <formula>$S50=1</formula>
    </cfRule>
  </conditionalFormatting>
  <conditionalFormatting sqref="M53">
    <cfRule type="expression" dxfId="15" priority="15">
      <formula>$S53=1</formula>
    </cfRule>
  </conditionalFormatting>
  <conditionalFormatting sqref="M56">
    <cfRule type="expression" dxfId="14" priority="14">
      <formula>$S56=1</formula>
    </cfRule>
  </conditionalFormatting>
  <conditionalFormatting sqref="M59">
    <cfRule type="expression" dxfId="13" priority="13">
      <formula>$S59=1</formula>
    </cfRule>
  </conditionalFormatting>
  <conditionalFormatting sqref="M62">
    <cfRule type="expression" dxfId="12" priority="12">
      <formula>$S62=1</formula>
    </cfRule>
  </conditionalFormatting>
  <conditionalFormatting sqref="M65">
    <cfRule type="expression" dxfId="11" priority="11">
      <formula>$S65=1</formula>
    </cfRule>
  </conditionalFormatting>
  <conditionalFormatting sqref="M68">
    <cfRule type="expression" dxfId="10" priority="10">
      <formula>$S68=1</formula>
    </cfRule>
  </conditionalFormatting>
  <conditionalFormatting sqref="M71">
    <cfRule type="expression" dxfId="9" priority="9">
      <formula>$S71=1</formula>
    </cfRule>
  </conditionalFormatting>
  <dataValidations count="1">
    <dataValidation type="whole" errorStyle="information" allowBlank="1" showInputMessage="1" showErrorMessage="1" errorTitle="ATENÇÃO" error="Para que seu pedido seja aceito, utilize números inteiros - altere ou entre em contato com o Vendedor para autorização desse quebrado." sqref="H2 H8:H1048576" xr:uid="{6B77781C-2628-4A47-8321-3E3E75ACA6B4}">
      <formula1>1</formula1>
      <formula2>1000000</formula2>
    </dataValidation>
  </dataValidations>
  <hyperlinks>
    <hyperlink ref="B1" location="GERAL!A1" display="GERAL" xr:uid="{9FA6A169-941F-47E4-B5D0-8242210BD19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D749B-6CD4-4AD0-A1C9-85479F5987BD}">
  <sheetPr codeName="Planilha9"/>
  <dimension ref="B1:U33"/>
  <sheetViews>
    <sheetView zoomScaleNormal="100" workbookViewId="0">
      <pane ySplit="1" topLeftCell="A2" activePane="bottomLeft" state="frozen"/>
      <selection pane="bottomLeft" activeCell="G5" sqref="G5"/>
    </sheetView>
  </sheetViews>
  <sheetFormatPr defaultColWidth="9.140625" defaultRowHeight="15" customHeight="1"/>
  <cols>
    <col min="1" max="1" width="2.7109375" style="1" customWidth="1"/>
    <col min="2" max="2" width="26" style="1" customWidth="1"/>
    <col min="3" max="3" width="2" style="1" customWidth="1"/>
    <col min="4" max="4" width="10.5703125" style="30" customWidth="1"/>
    <col min="5" max="5" width="10.5703125" style="27" customWidth="1"/>
    <col min="6" max="6" width="2" style="6" customWidth="1"/>
    <col min="7" max="7" width="10.28515625" style="5" customWidth="1"/>
    <col min="8" max="8" width="1.7109375" style="6" customWidth="1"/>
    <col min="9" max="9" width="16.42578125" style="1" bestFit="1" customWidth="1"/>
    <col min="10" max="10" width="2" style="1" hidden="1" customWidth="1"/>
    <col min="11" max="11" width="6.85546875" style="1" hidden="1" customWidth="1"/>
    <col min="12" max="12" width="9.5703125" style="1" hidden="1" customWidth="1"/>
    <col min="13" max="13" width="3.28515625" style="1" customWidth="1"/>
    <col min="14" max="14" width="9.85546875" style="1" customWidth="1"/>
    <col min="15" max="15" width="7.28515625" style="1" customWidth="1"/>
    <col min="16" max="16" width="3.42578125" style="22" customWidth="1"/>
    <col min="17" max="17" width="12.42578125" style="22" customWidth="1"/>
    <col min="18" max="18" width="9.140625" style="22" customWidth="1"/>
    <col min="19" max="19" width="12.42578125" style="22" bestFit="1" customWidth="1"/>
    <col min="20" max="16384" width="9.140625" style="1"/>
  </cols>
  <sheetData>
    <row r="1" spans="2:19" s="15" customFormat="1" ht="36" customHeight="1">
      <c r="B1" s="207" t="s">
        <v>296</v>
      </c>
      <c r="D1" s="29"/>
      <c r="E1" s="26"/>
      <c r="F1" s="16"/>
      <c r="G1" s="17"/>
      <c r="H1" s="16"/>
      <c r="P1" s="21"/>
      <c r="Q1" s="21"/>
      <c r="R1" s="21"/>
      <c r="S1" s="21"/>
    </row>
    <row r="2" spans="2:19" ht="18" customHeight="1">
      <c r="B2" s="72">
        <f>N3+N26</f>
        <v>0</v>
      </c>
      <c r="G2" s="340" t="str">
        <f>CHOOSE(  (1+((COUNT(G5:G100))&gt;0)+((COUNT(G5:G100))&gt;1)),"Não Selecionado",(COUNT(G5:G100))&amp; " Produto",(COUNT(G5:G100))&amp; " Produtos")</f>
        <v>Não Selecionado</v>
      </c>
      <c r="H2" s="2"/>
      <c r="J2" s="35">
        <v>1</v>
      </c>
      <c r="K2" s="35"/>
      <c r="L2" s="35"/>
      <c r="M2" s="5"/>
      <c r="O2" s="5"/>
    </row>
    <row r="3" spans="2:19" ht="17.25" customHeight="1">
      <c r="B3" s="73">
        <f>COUNT(G:G)</f>
        <v>0</v>
      </c>
      <c r="D3" s="642" t="s">
        <v>135</v>
      </c>
      <c r="E3" s="642"/>
      <c r="G3" s="71" t="s">
        <v>158</v>
      </c>
      <c r="I3" s="61" t="s">
        <v>181</v>
      </c>
      <c r="J3" s="33"/>
      <c r="K3" s="33"/>
      <c r="L3" s="34"/>
      <c r="N3" s="528">
        <f>SUM(N5:N23)</f>
        <v>0</v>
      </c>
      <c r="O3" s="528"/>
      <c r="P3" s="23"/>
    </row>
    <row r="4" spans="2:19" ht="16.5">
      <c r="B4" s="529" t="s">
        <v>27</v>
      </c>
      <c r="C4" s="530"/>
      <c r="D4" s="31" t="s">
        <v>131</v>
      </c>
      <c r="E4" s="28" t="s">
        <v>5</v>
      </c>
      <c r="F4" s="7"/>
      <c r="G4" s="4"/>
      <c r="H4" s="8"/>
      <c r="I4" s="62"/>
      <c r="J4" s="643">
        <v>101</v>
      </c>
      <c r="K4" s="545"/>
      <c r="L4" s="19">
        <v>102</v>
      </c>
      <c r="N4" s="533"/>
      <c r="O4" s="533"/>
    </row>
    <row r="5" spans="2:19" ht="16.5">
      <c r="B5" s="535" t="s">
        <v>177</v>
      </c>
      <c r="C5" s="536"/>
      <c r="D5" s="32">
        <v>40</v>
      </c>
      <c r="E5" s="63">
        <v>200</v>
      </c>
      <c r="F5" s="7"/>
      <c r="G5" s="70"/>
      <c r="H5" s="7"/>
      <c r="I5" s="25">
        <v>85</v>
      </c>
      <c r="J5" s="641" t="e">
        <f>#REF!</f>
        <v>#REF!</v>
      </c>
      <c r="K5" s="550"/>
      <c r="L5" s="11" t="e">
        <f>J5</f>
        <v>#REF!</v>
      </c>
      <c r="N5" s="525">
        <f>I5*G5</f>
        <v>0</v>
      </c>
      <c r="O5" s="525"/>
      <c r="P5" s="24"/>
    </row>
    <row r="6" spans="2:19" ht="16.5">
      <c r="B6" s="535" t="s">
        <v>178</v>
      </c>
      <c r="C6" s="536"/>
      <c r="D6" s="32">
        <v>60</v>
      </c>
      <c r="E6" s="63">
        <v>200</v>
      </c>
      <c r="F6" s="7"/>
      <c r="G6" s="70"/>
      <c r="H6" s="7"/>
      <c r="I6" s="25">
        <v>130</v>
      </c>
      <c r="J6" s="641" t="e">
        <f>#REF!</f>
        <v>#REF!</v>
      </c>
      <c r="K6" s="550"/>
      <c r="L6" s="11" t="e">
        <f t="shared" ref="L6:L11" si="0">J6</f>
        <v>#REF!</v>
      </c>
      <c r="N6" s="525">
        <f t="shared" ref="N6:N11" si="1">I6*G6</f>
        <v>0</v>
      </c>
      <c r="O6" s="525"/>
      <c r="P6" s="24"/>
    </row>
    <row r="7" spans="2:19" ht="16.5">
      <c r="B7" s="535" t="s">
        <v>179</v>
      </c>
      <c r="C7" s="536"/>
      <c r="D7" s="32">
        <v>80</v>
      </c>
      <c r="E7" s="63">
        <v>200</v>
      </c>
      <c r="F7" s="7"/>
      <c r="G7" s="70"/>
      <c r="H7" s="7"/>
      <c r="I7" s="25">
        <v>220</v>
      </c>
      <c r="J7" s="641" t="e">
        <f>#REF!</f>
        <v>#REF!</v>
      </c>
      <c r="K7" s="550"/>
      <c r="L7" s="11" t="e">
        <f t="shared" si="0"/>
        <v>#REF!</v>
      </c>
      <c r="N7" s="525">
        <f t="shared" si="1"/>
        <v>0</v>
      </c>
      <c r="O7" s="525"/>
      <c r="P7" s="24"/>
    </row>
    <row r="8" spans="2:19" ht="16.5">
      <c r="B8" s="535" t="s">
        <v>180</v>
      </c>
      <c r="C8" s="536"/>
      <c r="D8" s="32">
        <v>40</v>
      </c>
      <c r="E8" s="63">
        <v>200</v>
      </c>
      <c r="F8" s="7"/>
      <c r="G8" s="70"/>
      <c r="H8" s="7"/>
      <c r="I8" s="25">
        <v>132</v>
      </c>
      <c r="J8" s="641" t="e">
        <f>#REF!</f>
        <v>#REF!</v>
      </c>
      <c r="K8" s="550"/>
      <c r="L8" s="11" t="e">
        <f t="shared" si="0"/>
        <v>#REF!</v>
      </c>
      <c r="N8" s="525">
        <f t="shared" si="1"/>
        <v>0</v>
      </c>
      <c r="O8" s="525"/>
      <c r="P8" s="24"/>
    </row>
    <row r="9" spans="2:19" ht="16.5">
      <c r="B9" s="535" t="s">
        <v>180</v>
      </c>
      <c r="C9" s="536"/>
      <c r="D9" s="32">
        <v>60</v>
      </c>
      <c r="E9" s="63">
        <v>200</v>
      </c>
      <c r="F9" s="7"/>
      <c r="G9" s="70"/>
      <c r="H9" s="7"/>
      <c r="I9" s="25">
        <v>168</v>
      </c>
      <c r="J9" s="641" t="e">
        <f>#REF!</f>
        <v>#REF!</v>
      </c>
      <c r="K9" s="550"/>
      <c r="L9" s="11" t="e">
        <f t="shared" si="0"/>
        <v>#REF!</v>
      </c>
      <c r="N9" s="525">
        <f t="shared" si="1"/>
        <v>0</v>
      </c>
      <c r="O9" s="525"/>
      <c r="P9" s="24"/>
    </row>
    <row r="10" spans="2:19" ht="16.5">
      <c r="B10" s="535" t="s">
        <v>180</v>
      </c>
      <c r="C10" s="536"/>
      <c r="D10" s="32">
        <v>80</v>
      </c>
      <c r="E10" s="63">
        <v>200</v>
      </c>
      <c r="F10" s="7"/>
      <c r="G10" s="70"/>
      <c r="H10" s="7"/>
      <c r="I10" s="25">
        <v>335</v>
      </c>
      <c r="J10" s="641" t="e">
        <f>#REF!</f>
        <v>#REF!</v>
      </c>
      <c r="K10" s="550"/>
      <c r="L10" s="11" t="e">
        <f t="shared" si="0"/>
        <v>#REF!</v>
      </c>
      <c r="N10" s="525">
        <f t="shared" si="1"/>
        <v>0</v>
      </c>
      <c r="O10" s="525"/>
      <c r="P10" s="24"/>
    </row>
    <row r="11" spans="2:19" ht="16.5">
      <c r="B11" s="535" t="s">
        <v>180</v>
      </c>
      <c r="C11" s="536"/>
      <c r="D11" s="32">
        <v>120</v>
      </c>
      <c r="E11" s="63">
        <v>200</v>
      </c>
      <c r="F11" s="7"/>
      <c r="G11" s="70"/>
      <c r="H11" s="7"/>
      <c r="I11" s="25">
        <v>350</v>
      </c>
      <c r="J11" s="641" t="e">
        <f>#REF!</f>
        <v>#REF!</v>
      </c>
      <c r="K11" s="550"/>
      <c r="L11" s="11" t="e">
        <f t="shared" si="0"/>
        <v>#REF!</v>
      </c>
      <c r="N11" s="525">
        <f t="shared" si="1"/>
        <v>0</v>
      </c>
      <c r="O11" s="525"/>
      <c r="P11" s="24"/>
    </row>
    <row r="12" spans="2:19" hidden="1"/>
    <row r="13" spans="2:19" ht="15" hidden="1" customHeight="1"/>
    <row r="14" spans="2:19" ht="15" hidden="1" customHeight="1"/>
    <row r="15" spans="2:19" ht="15" hidden="1" customHeight="1"/>
    <row r="16" spans="2:19" ht="15" hidden="1" customHeight="1"/>
    <row r="17" spans="2:21" ht="15" hidden="1" customHeight="1"/>
    <row r="18" spans="2:21" ht="15" hidden="1" customHeight="1"/>
    <row r="19" spans="2:21" ht="15" hidden="1" customHeight="1"/>
    <row r="20" spans="2:21" ht="15" hidden="1" customHeight="1"/>
    <row r="21" spans="2:21" ht="15" hidden="1" customHeight="1"/>
    <row r="22" spans="2:21" ht="15" hidden="1" customHeight="1"/>
    <row r="24" spans="2:21" s="15" customFormat="1" ht="36" customHeight="1">
      <c r="D24" s="29"/>
      <c r="E24" s="26"/>
      <c r="F24" s="16"/>
      <c r="G24" s="17"/>
      <c r="H24" s="16"/>
      <c r="P24" s="21"/>
      <c r="Q24" s="21"/>
      <c r="R24" s="21"/>
      <c r="S24" s="21"/>
    </row>
    <row r="25" spans="2:21" ht="18" customHeight="1">
      <c r="H25" s="2"/>
      <c r="I25" s="65"/>
      <c r="J25" s="35">
        <v>1</v>
      </c>
      <c r="K25" s="35"/>
      <c r="L25" s="35"/>
      <c r="M25" s="5"/>
      <c r="N25" s="5"/>
      <c r="O25" s="5"/>
    </row>
    <row r="26" spans="2:21" ht="17.25" customHeight="1">
      <c r="B26" s="20"/>
      <c r="D26" s="642" t="s">
        <v>135</v>
      </c>
      <c r="E26" s="642"/>
      <c r="G26" s="71" t="s">
        <v>158</v>
      </c>
      <c r="I26" s="61" t="s">
        <v>181</v>
      </c>
      <c r="J26" s="33"/>
      <c r="K26" s="33"/>
      <c r="L26" s="34"/>
      <c r="N26" s="528">
        <f>SUM(N28:N32)</f>
        <v>0</v>
      </c>
      <c r="O26" s="528"/>
      <c r="P26" s="23"/>
    </row>
    <row r="27" spans="2:21" ht="16.5">
      <c r="B27" s="529" t="s">
        <v>27</v>
      </c>
      <c r="C27" s="530"/>
      <c r="D27" s="31" t="s">
        <v>131</v>
      </c>
      <c r="E27" s="28" t="s">
        <v>5</v>
      </c>
      <c r="F27" s="7"/>
      <c r="G27" s="4"/>
      <c r="H27" s="8"/>
      <c r="I27" s="62"/>
      <c r="J27" s="643">
        <v>101</v>
      </c>
      <c r="K27" s="545"/>
      <c r="L27" s="19">
        <v>102</v>
      </c>
      <c r="N27" s="533"/>
      <c r="O27" s="533"/>
    </row>
    <row r="28" spans="2:21" ht="16.5">
      <c r="B28" s="535" t="s">
        <v>292</v>
      </c>
      <c r="C28" s="536"/>
      <c r="D28" s="32" t="s">
        <v>295</v>
      </c>
      <c r="E28" s="63">
        <v>30</v>
      </c>
      <c r="F28" s="7"/>
      <c r="G28" s="70"/>
      <c r="H28" s="7"/>
      <c r="I28" s="25">
        <v>50</v>
      </c>
      <c r="J28" s="641" t="e">
        <f>#REF!</f>
        <v>#REF!</v>
      </c>
      <c r="K28" s="550"/>
      <c r="L28" s="11" t="e">
        <f>J28</f>
        <v>#REF!</v>
      </c>
      <c r="N28" s="525">
        <f>I28*G28</f>
        <v>0</v>
      </c>
      <c r="O28" s="525"/>
      <c r="P28" s="24"/>
    </row>
    <row r="29" spans="2:21" ht="16.5">
      <c r="B29" s="535" t="s">
        <v>293</v>
      </c>
      <c r="C29" s="536"/>
      <c r="D29" s="32" t="s">
        <v>295</v>
      </c>
      <c r="E29" s="63">
        <v>50</v>
      </c>
      <c r="F29" s="7"/>
      <c r="G29" s="70"/>
      <c r="H29" s="7"/>
      <c r="I29" s="25">
        <v>83</v>
      </c>
      <c r="J29" s="641" t="e">
        <f>#REF!</f>
        <v>#REF!</v>
      </c>
      <c r="K29" s="550"/>
      <c r="L29" s="11" t="e">
        <f t="shared" ref="L29" si="2">J29</f>
        <v>#REF!</v>
      </c>
      <c r="N29" s="525">
        <f t="shared" ref="N29" si="3">I29*G29</f>
        <v>0</v>
      </c>
      <c r="O29" s="525"/>
      <c r="P29" s="24"/>
      <c r="U29" s="1" t="s">
        <v>182</v>
      </c>
    </row>
    <row r="30" spans="2:21" ht="16.5">
      <c r="B30" s="535" t="s">
        <v>290</v>
      </c>
      <c r="C30" s="536"/>
      <c r="D30" s="32">
        <v>120</v>
      </c>
      <c r="E30" s="63">
        <v>20</v>
      </c>
      <c r="F30" s="7"/>
      <c r="G30" s="70"/>
      <c r="H30" s="7"/>
      <c r="I30" s="25">
        <v>66</v>
      </c>
      <c r="J30" s="641" t="e">
        <f>#REF!</f>
        <v>#REF!</v>
      </c>
      <c r="K30" s="550"/>
      <c r="L30" s="11" t="e">
        <f>J30</f>
        <v>#REF!</v>
      </c>
      <c r="N30" s="525">
        <f>I30*G30</f>
        <v>0</v>
      </c>
      <c r="O30" s="525"/>
      <c r="P30" s="24"/>
    </row>
    <row r="31" spans="2:21" ht="16.5">
      <c r="B31" s="535" t="s">
        <v>294</v>
      </c>
      <c r="C31" s="536"/>
      <c r="D31" s="32">
        <v>120</v>
      </c>
      <c r="E31" s="63">
        <v>30</v>
      </c>
      <c r="F31" s="7"/>
      <c r="G31" s="70"/>
      <c r="H31" s="7"/>
      <c r="I31" s="25">
        <v>99</v>
      </c>
      <c r="J31" s="641" t="e">
        <f>#REF!</f>
        <v>#REF!</v>
      </c>
      <c r="K31" s="550"/>
      <c r="L31" s="11" t="e">
        <f t="shared" ref="L31:L32" si="4">J31</f>
        <v>#REF!</v>
      </c>
      <c r="N31" s="525">
        <f t="shared" ref="N31:N32" si="5">I31*G31</f>
        <v>0</v>
      </c>
      <c r="O31" s="525"/>
      <c r="P31" s="24"/>
    </row>
    <row r="32" spans="2:21" ht="16.5">
      <c r="B32" s="535" t="s">
        <v>291</v>
      </c>
      <c r="C32" s="536"/>
      <c r="D32" s="32">
        <v>120</v>
      </c>
      <c r="E32" s="63">
        <v>50</v>
      </c>
      <c r="F32" s="7"/>
      <c r="G32" s="70"/>
      <c r="H32" s="7"/>
      <c r="I32" s="25">
        <v>165</v>
      </c>
      <c r="J32" s="641" t="e">
        <f>#REF!</f>
        <v>#REF!</v>
      </c>
      <c r="K32" s="550"/>
      <c r="L32" s="11" t="e">
        <f t="shared" si="4"/>
        <v>#REF!</v>
      </c>
      <c r="N32" s="525">
        <f t="shared" si="5"/>
        <v>0</v>
      </c>
      <c r="O32" s="525"/>
      <c r="P32" s="24"/>
      <c r="U32" s="1" t="s">
        <v>182</v>
      </c>
    </row>
    <row r="33" spans="18:18" ht="15" customHeight="1">
      <c r="R33" s="64"/>
    </row>
  </sheetData>
  <sheetProtection sheet="1" selectLockedCells="1"/>
  <mergeCells count="46">
    <mergeCell ref="B11:C11"/>
    <mergeCell ref="J11:K11"/>
    <mergeCell ref="N11:O11"/>
    <mergeCell ref="B8:C8"/>
    <mergeCell ref="J8:K8"/>
    <mergeCell ref="N8:O8"/>
    <mergeCell ref="B10:C10"/>
    <mergeCell ref="J10:K10"/>
    <mergeCell ref="N10:O10"/>
    <mergeCell ref="B29:C29"/>
    <mergeCell ref="J29:K29"/>
    <mergeCell ref="N29:O29"/>
    <mergeCell ref="D26:E26"/>
    <mergeCell ref="N26:O26"/>
    <mergeCell ref="B27:C27"/>
    <mergeCell ref="J27:K27"/>
    <mergeCell ref="N27:O27"/>
    <mergeCell ref="B28:C28"/>
    <mergeCell ref="J28:K28"/>
    <mergeCell ref="N28:O28"/>
    <mergeCell ref="B5:C5"/>
    <mergeCell ref="J5:K5"/>
    <mergeCell ref="N5:O5"/>
    <mergeCell ref="B6:C6"/>
    <mergeCell ref="J6:K6"/>
    <mergeCell ref="N6:O6"/>
    <mergeCell ref="B7:C7"/>
    <mergeCell ref="J7:K7"/>
    <mergeCell ref="N7:O7"/>
    <mergeCell ref="B9:C9"/>
    <mergeCell ref="J9:K9"/>
    <mergeCell ref="N9:O9"/>
    <mergeCell ref="D3:E3"/>
    <mergeCell ref="N3:O3"/>
    <mergeCell ref="B4:C4"/>
    <mergeCell ref="J4:K4"/>
    <mergeCell ref="N4:O4"/>
    <mergeCell ref="B32:C32"/>
    <mergeCell ref="J32:K32"/>
    <mergeCell ref="N32:O32"/>
    <mergeCell ref="B30:C30"/>
    <mergeCell ref="J30:K30"/>
    <mergeCell ref="N30:O30"/>
    <mergeCell ref="B31:C31"/>
    <mergeCell ref="J31:K31"/>
    <mergeCell ref="N31:O31"/>
  </mergeCells>
  <conditionalFormatting sqref="B1">
    <cfRule type="expression" dxfId="8" priority="1">
      <formula>$D1&gt;0</formula>
    </cfRule>
  </conditionalFormatting>
  <conditionalFormatting sqref="B5:E11 G5:G11 I5:I11 N5:O11">
    <cfRule type="expression" dxfId="7" priority="4">
      <formula>$G5&gt;0</formula>
    </cfRule>
  </conditionalFormatting>
  <conditionalFormatting sqref="B28:E32 G28:G32 I28:I32 N28:O32">
    <cfRule type="expression" dxfId="6" priority="2">
      <formula>$G28&gt;0</formula>
    </cfRule>
  </conditionalFormatting>
  <hyperlinks>
    <hyperlink ref="B1" location="GERAL!A1" display="GERAL" xr:uid="{35F76176-E7DE-40F0-822C-89A9EA7055DB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7 m i p V O z p 9 O S k A A A A 9 g A A A B I A H A B D b 2 5 m a W c v U G F j a 2 F n Z S 5 4 b W w g o h g A K K A U A A A A A A A A A A A A A A A A A A A A A A A A A A A A h Y 8 x D o I w G I W v Q r r T F n A g 5 K c k u k p i N D G u T a n Q A I X Q Y r m b g 0 f y C m I U d X N 8 3 / u G 9 + 7 X G 2 R T 2 3 g X O R j V 6 R Q F m C J P a t E V S p c p G u 3 Z j 1 H G Y M d F z U v p z b I 2 y W S K F F X W 9 g k h z j n s I t w N J Q k p D c g p 3 x 5 E J V u O P r L 6 L / t K G 8 u 1 k I j B 8 T W G h T i g K x z F 8 y Y g C 4 R c 6 a 8 Q z t 2 z / Y G w G R s 7 D p L 1 1 l / v g S w R y P s D e w B Q S w M E F A A C A A g A 7 m i p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5 o q V Q o i k e 4 D g A A A B E A A A A T A B w A R m 9 y b X V s Y X M v U 2 V j d G l v b j E u b S C i G A A o o B Q A A A A A A A A A A A A A A A A A A A A A A A A A A A A r T k 0 u y c z P U w i G 0 I b W A F B L A Q I t A B Q A A g A I A O 5 o q V T s 6 f T k p A A A A P Y A A A A S A A A A A A A A A A A A A A A A A A A A A A B D b 2 5 m a W c v U G F j a 2 F n Z S 5 4 b W x Q S w E C L Q A U A A I A C A D u a K l U D 8 r p q 6 Q A A A D p A A A A E w A A A A A A A A A A A A A A A A D w A A A A W 0 N v b n R l b n R f V H l w Z X N d L n h t b F B L A Q I t A B Q A A g A I A O 5 o q V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y g F D O g U 5 p S 6 Y V v Z 8 s q g R / A A A A A A I A A A A A A B B m A A A A A Q A A I A A A A F E x s K S g J C n m t 6 u v x r F 2 C X P O S l r z h 7 S H h F i X E Z K w R S u 6 A A A A A A 6 A A A A A A g A A I A A A A M + w a X 3 z a 8 q i B c q i f c + L + j O G I H Y q a x P T l Z l 2 g 3 I e L Z R o U A A A A I O M 2 A V w H s i C C O A Y 2 d U g Z u V 6 I N e 5 P w k m I x s w 2 C q J W x M r 0 + h 8 p E r n 6 S b l a V j h f 3 m D v 0 s Q 1 e Y g N S L A 7 N F 2 9 s 0 P w 6 N T i v w R 3 p N d k C N x Z K Q P l 5 D l Q A A A A P m s H i I u / x X i v 1 r o V 4 o Q / J g r 4 x s 6 W i z m 3 d C v E A 0 U G 8 C O D Y 3 e / k U k E + + M 3 d 6 l e C M i H / q 1 r H K r 4 f Y j e 6 o G M 6 3 w h M 0 = < / D a t a M a s h u p > 
</file>

<file path=customXml/itemProps1.xml><?xml version="1.0" encoding="utf-8"?>
<ds:datastoreItem xmlns:ds="http://schemas.openxmlformats.org/officeDocument/2006/customXml" ds:itemID="{4C98595C-A969-46C4-B4C1-BAE96001D89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</vt:i4>
      </vt:variant>
    </vt:vector>
  </HeadingPairs>
  <TitlesOfParts>
    <vt:vector size="12" baseType="lpstr">
      <vt:lpstr>Folha Inicial</vt:lpstr>
      <vt:lpstr>GERAL</vt:lpstr>
      <vt:lpstr>TABELA</vt:lpstr>
      <vt:lpstr>ENVELOPES</vt:lpstr>
      <vt:lpstr>SACOLA</vt:lpstr>
      <vt:lpstr>FITA ADESIVA</vt:lpstr>
      <vt:lpstr>PLASTICO BOLHA</vt:lpstr>
      <vt:lpstr>ETIQUETAS</vt:lpstr>
      <vt:lpstr>PAPEL PARDO E PAPELÃO ONDULADO</vt:lpstr>
      <vt:lpstr>ACESSORIOS</vt:lpstr>
      <vt:lpstr>Mudança</vt:lpstr>
      <vt:lpstr>TABELA!Criterios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Multi Caixas;11 3228-4650</dc:creator>
  <cp:lastModifiedBy>Rogerio Cuscan Cezario</cp:lastModifiedBy>
  <cp:lastPrinted>2022-09-09T18:41:57Z</cp:lastPrinted>
  <dcterms:created xsi:type="dcterms:W3CDTF">2021-10-18T18:38:56Z</dcterms:created>
  <dcterms:modified xsi:type="dcterms:W3CDTF">2025-03-20T13:44:39Z</dcterms:modified>
</cp:coreProperties>
</file>